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JUNIO 2024" sheetId="1" r:id="rId1"/>
  </sheets>
  <externalReferences>
    <externalReference r:id="rId2"/>
  </externalReferences>
  <definedNames>
    <definedName name="_xlnm.Print_Area" localSheetId="0">'JUNIO 2024'!$A$2:$M$174</definedName>
    <definedName name="_xlnm.Print_Titles" localSheetId="0">'JUNIO 2024'!$1:$11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2" i="1"/>
  <c r="O151"/>
  <c r="O150"/>
  <c r="O149" s="1"/>
  <c r="N149"/>
  <c r="M149"/>
  <c r="L149"/>
  <c r="K149"/>
  <c r="J149"/>
  <c r="I149"/>
  <c r="H149"/>
  <c r="G149"/>
  <c r="I147"/>
  <c r="I145" s="1"/>
  <c r="H147"/>
  <c r="O147" s="1"/>
  <c r="O146"/>
  <c r="N145"/>
  <c r="M145"/>
  <c r="L145"/>
  <c r="K145"/>
  <c r="K138" s="1"/>
  <c r="K137" s="1"/>
  <c r="J145"/>
  <c r="H145"/>
  <c r="H138" s="1"/>
  <c r="G145"/>
  <c r="G138" s="1"/>
  <c r="O144"/>
  <c r="I144"/>
  <c r="I137" s="1"/>
  <c r="O143"/>
  <c r="O142"/>
  <c r="O141"/>
  <c r="O140"/>
  <c r="O139"/>
  <c r="J138"/>
  <c r="J137" s="1"/>
  <c r="J136" s="1"/>
  <c r="N137"/>
  <c r="M137"/>
  <c r="M136" s="1"/>
  <c r="L137"/>
  <c r="G137"/>
  <c r="N136"/>
  <c r="O134"/>
  <c r="M133"/>
  <c r="L133"/>
  <c r="L128" s="1"/>
  <c r="J133"/>
  <c r="I133"/>
  <c r="H133"/>
  <c r="O132"/>
  <c r="I132"/>
  <c r="O131"/>
  <c r="J131"/>
  <c r="I131"/>
  <c r="O130"/>
  <c r="M130"/>
  <c r="M128" s="1"/>
  <c r="J130"/>
  <c r="I130"/>
  <c r="O129"/>
  <c r="I129"/>
  <c r="N128"/>
  <c r="K128"/>
  <c r="I128"/>
  <c r="H128"/>
  <c r="G128"/>
  <c r="O126"/>
  <c r="I126"/>
  <c r="I125" s="1"/>
  <c r="I124" s="1"/>
  <c r="N125"/>
  <c r="M125"/>
  <c r="M124" s="1"/>
  <c r="L125"/>
  <c r="L124" s="1"/>
  <c r="K125"/>
  <c r="K124" s="1"/>
  <c r="J125"/>
  <c r="H125"/>
  <c r="H124" s="1"/>
  <c r="G125"/>
  <c r="N124"/>
  <c r="J124"/>
  <c r="G124"/>
  <c r="O123"/>
  <c r="O122"/>
  <c r="I122"/>
  <c r="O121"/>
  <c r="O120"/>
  <c r="I120"/>
  <c r="O119"/>
  <c r="I119"/>
  <c r="N118"/>
  <c r="M118"/>
  <c r="L118"/>
  <c r="K118"/>
  <c r="J118"/>
  <c r="H118"/>
  <c r="G118"/>
  <c r="O116"/>
  <c r="O115" s="1"/>
  <c r="N115"/>
  <c r="N110" s="1"/>
  <c r="M115"/>
  <c r="L115"/>
  <c r="K115"/>
  <c r="J115"/>
  <c r="I115"/>
  <c r="H115"/>
  <c r="O113"/>
  <c r="O112"/>
  <c r="G112"/>
  <c r="G111" s="1"/>
  <c r="O111"/>
  <c r="N111"/>
  <c r="M111"/>
  <c r="L111"/>
  <c r="K111"/>
  <c r="J111"/>
  <c r="I111"/>
  <c r="H111"/>
  <c r="N108"/>
  <c r="M108"/>
  <c r="L108"/>
  <c r="L106" s="1"/>
  <c r="K108"/>
  <c r="J108"/>
  <c r="J106" s="1"/>
  <c r="I108"/>
  <c r="I106" s="1"/>
  <c r="H108"/>
  <c r="H106" s="1"/>
  <c r="I107"/>
  <c r="N106"/>
  <c r="M106"/>
  <c r="K106"/>
  <c r="G106"/>
  <c r="N104"/>
  <c r="M104"/>
  <c r="L104"/>
  <c r="L99" s="1"/>
  <c r="K104"/>
  <c r="K99" s="1"/>
  <c r="J104"/>
  <c r="I104"/>
  <c r="H104"/>
  <c r="H99" s="1"/>
  <c r="H91" s="1"/>
  <c r="O103"/>
  <c r="I103"/>
  <c r="O102"/>
  <c r="I102"/>
  <c r="O101"/>
  <c r="I101"/>
  <c r="O100"/>
  <c r="I100"/>
  <c r="N99"/>
  <c r="N91" s="1"/>
  <c r="M99"/>
  <c r="J99"/>
  <c r="I99"/>
  <c r="G99"/>
  <c r="M97"/>
  <c r="M95" s="1"/>
  <c r="M91" s="1"/>
  <c r="L97"/>
  <c r="L95" s="1"/>
  <c r="L91" s="1"/>
  <c r="I97"/>
  <c r="O96"/>
  <c r="I96"/>
  <c r="I95" s="1"/>
  <c r="I91" s="1"/>
  <c r="K95"/>
  <c r="K91" s="1"/>
  <c r="J95"/>
  <c r="J91" s="1"/>
  <c r="H95"/>
  <c r="G95"/>
  <c r="G91" s="1"/>
  <c r="O93"/>
  <c r="O92"/>
  <c r="I92"/>
  <c r="I89"/>
  <c r="H89"/>
  <c r="O89" s="1"/>
  <c r="O88"/>
  <c r="I88"/>
  <c r="I87"/>
  <c r="H87"/>
  <c r="O87" s="1"/>
  <c r="O86"/>
  <c r="I86"/>
  <c r="L85"/>
  <c r="O85" s="1"/>
  <c r="I85"/>
  <c r="I84" s="1"/>
  <c r="N84"/>
  <c r="M84"/>
  <c r="L84"/>
  <c r="K84"/>
  <c r="J84"/>
  <c r="G84"/>
  <c r="N83"/>
  <c r="M83"/>
  <c r="L83"/>
  <c r="K83"/>
  <c r="J83"/>
  <c r="G83"/>
  <c r="O81"/>
  <c r="L80"/>
  <c r="L78" s="1"/>
  <c r="K80"/>
  <c r="K78" s="1"/>
  <c r="I80"/>
  <c r="L79"/>
  <c r="O79" s="1"/>
  <c r="I79"/>
  <c r="N78"/>
  <c r="M78"/>
  <c r="J78"/>
  <c r="I78"/>
  <c r="H78"/>
  <c r="G78"/>
  <c r="O75"/>
  <c r="I75"/>
  <c r="O74"/>
  <c r="I74"/>
  <c r="O73"/>
  <c r="O72" s="1"/>
  <c r="I73"/>
  <c r="N72"/>
  <c r="N69" s="1"/>
  <c r="M72"/>
  <c r="M69" s="1"/>
  <c r="L72"/>
  <c r="K72"/>
  <c r="J72"/>
  <c r="J69" s="1"/>
  <c r="I72"/>
  <c r="I69" s="1"/>
  <c r="H72"/>
  <c r="G72"/>
  <c r="N70"/>
  <c r="M70"/>
  <c r="L70"/>
  <c r="K70"/>
  <c r="J70"/>
  <c r="I70"/>
  <c r="H70"/>
  <c r="L69"/>
  <c r="K69"/>
  <c r="H69"/>
  <c r="G69"/>
  <c r="I68"/>
  <c r="O67"/>
  <c r="I67"/>
  <c r="N66"/>
  <c r="M66"/>
  <c r="L66"/>
  <c r="L65" s="1"/>
  <c r="K66"/>
  <c r="K65" s="1"/>
  <c r="J66"/>
  <c r="I66"/>
  <c r="H66"/>
  <c r="N65"/>
  <c r="M65"/>
  <c r="J65"/>
  <c r="H65"/>
  <c r="G65"/>
  <c r="I65" s="1"/>
  <c r="I64"/>
  <c r="O63"/>
  <c r="I63"/>
  <c r="L62"/>
  <c r="K62"/>
  <c r="O62" s="1"/>
  <c r="I62"/>
  <c r="I61" s="1"/>
  <c r="N61"/>
  <c r="M61"/>
  <c r="L61"/>
  <c r="K61"/>
  <c r="J61"/>
  <c r="H61"/>
  <c r="G61"/>
  <c r="O59"/>
  <c r="I59"/>
  <c r="O58"/>
  <c r="O57" s="1"/>
  <c r="I58"/>
  <c r="I57" s="1"/>
  <c r="N57"/>
  <c r="M57"/>
  <c r="L57"/>
  <c r="K57"/>
  <c r="J57"/>
  <c r="H57"/>
  <c r="G57"/>
  <c r="O55"/>
  <c r="I55"/>
  <c r="I54" s="1"/>
  <c r="N54"/>
  <c r="M54"/>
  <c r="L54"/>
  <c r="K54"/>
  <c r="K49" s="1"/>
  <c r="J54"/>
  <c r="H54"/>
  <c r="G54"/>
  <c r="O52"/>
  <c r="I52"/>
  <c r="O51"/>
  <c r="N50"/>
  <c r="N49" s="1"/>
  <c r="M50"/>
  <c r="M49" s="1"/>
  <c r="L50"/>
  <c r="K50"/>
  <c r="J50"/>
  <c r="J49" s="1"/>
  <c r="I50"/>
  <c r="I49" s="1"/>
  <c r="H50"/>
  <c r="L49"/>
  <c r="H49"/>
  <c r="G49"/>
  <c r="O46"/>
  <c r="I46"/>
  <c r="O45"/>
  <c r="I45"/>
  <c r="L44"/>
  <c r="O44" s="1"/>
  <c r="O43" s="1"/>
  <c r="I44"/>
  <c r="N43"/>
  <c r="M43"/>
  <c r="K43"/>
  <c r="J43"/>
  <c r="I43"/>
  <c r="H43"/>
  <c r="G43"/>
  <c r="H41"/>
  <c r="H40"/>
  <c r="H39" s="1"/>
  <c r="N39"/>
  <c r="M39"/>
  <c r="L39"/>
  <c r="G39"/>
  <c r="O35"/>
  <c r="I35"/>
  <c r="O34"/>
  <c r="O33"/>
  <c r="O32"/>
  <c r="N32"/>
  <c r="M32"/>
  <c r="M31" s="1"/>
  <c r="L32"/>
  <c r="L31" s="1"/>
  <c r="K32"/>
  <c r="J32"/>
  <c r="I32"/>
  <c r="I31" s="1"/>
  <c r="H32"/>
  <c r="H31" s="1"/>
  <c r="G32"/>
  <c r="O31"/>
  <c r="N31"/>
  <c r="K31"/>
  <c r="J31"/>
  <c r="G31"/>
  <c r="O28"/>
  <c r="O27"/>
  <c r="O26"/>
  <c r="N25"/>
  <c r="M25"/>
  <c r="L25"/>
  <c r="K25"/>
  <c r="J25"/>
  <c r="I25"/>
  <c r="H25"/>
  <c r="G25"/>
  <c r="O23"/>
  <c r="I23"/>
  <c r="I22" s="1"/>
  <c r="I13" s="1"/>
  <c r="I12" s="1"/>
  <c r="N22"/>
  <c r="M22"/>
  <c r="L22"/>
  <c r="L13" s="1"/>
  <c r="K22"/>
  <c r="J22"/>
  <c r="H22"/>
  <c r="H13" s="1"/>
  <c r="G22"/>
  <c r="G13" s="1"/>
  <c r="G12" s="1"/>
  <c r="O20"/>
  <c r="I20"/>
  <c r="O19"/>
  <c r="N18"/>
  <c r="M18"/>
  <c r="L18"/>
  <c r="K18"/>
  <c r="K17" s="1"/>
  <c r="K13" s="1"/>
  <c r="K12" s="1"/>
  <c r="J18"/>
  <c r="I18"/>
  <c r="H18"/>
  <c r="N17"/>
  <c r="M17"/>
  <c r="L17"/>
  <c r="J17"/>
  <c r="I17"/>
  <c r="H17"/>
  <c r="G17"/>
  <c r="N15"/>
  <c r="N14" s="1"/>
  <c r="N13" s="1"/>
  <c r="N12" s="1"/>
  <c r="M15"/>
  <c r="L15"/>
  <c r="K15"/>
  <c r="J15"/>
  <c r="J14" s="1"/>
  <c r="J13" s="1"/>
  <c r="J12" s="1"/>
  <c r="I15"/>
  <c r="H15"/>
  <c r="M14"/>
  <c r="M13" s="1"/>
  <c r="M12" s="1"/>
  <c r="L14"/>
  <c r="K14"/>
  <c r="I14"/>
  <c r="H14"/>
  <c r="G14"/>
  <c r="A5"/>
  <c r="O138" l="1"/>
  <c r="O137" s="1"/>
  <c r="O136" s="1"/>
  <c r="H137"/>
  <c r="H136" s="1"/>
  <c r="J48"/>
  <c r="N48"/>
  <c r="N154"/>
  <c r="H12"/>
  <c r="G48"/>
  <c r="M48"/>
  <c r="K48"/>
  <c r="O145"/>
  <c r="O15"/>
  <c r="L43"/>
  <c r="L12" s="1"/>
  <c r="O70"/>
  <c r="L48"/>
  <c r="O18"/>
  <c r="O25"/>
  <c r="O80"/>
  <c r="O78" s="1"/>
  <c r="I83"/>
  <c r="I48" s="1"/>
  <c r="J128"/>
  <c r="J110" s="1"/>
  <c r="J154" s="1"/>
  <c r="K136"/>
  <c r="O66"/>
  <c r="H83"/>
  <c r="H84"/>
  <c r="O104"/>
  <c r="I118"/>
  <c r="M110"/>
  <c r="M154" s="1"/>
  <c r="O50"/>
  <c r="O49" s="1"/>
  <c r="O97"/>
  <c r="H48"/>
  <c r="L136"/>
  <c r="O84"/>
  <c r="O83"/>
  <c r="O99"/>
  <c r="I138"/>
  <c r="I136" s="1"/>
  <c r="I110" s="1"/>
  <c r="O14"/>
  <c r="O65"/>
  <c r="O17"/>
  <c r="O61"/>
  <c r="O69"/>
  <c r="O95"/>
  <c r="O91" s="1"/>
  <c r="O41"/>
  <c r="K110"/>
  <c r="H110"/>
  <c r="H154" s="1"/>
  <c r="L110"/>
  <c r="O22"/>
  <c r="I41"/>
  <c r="J41" s="1"/>
  <c r="K41" s="1"/>
  <c r="O108"/>
  <c r="O118"/>
  <c r="O125"/>
  <c r="O124" s="1"/>
  <c r="O133"/>
  <c r="I40"/>
  <c r="O54"/>
  <c r="G136"/>
  <c r="G110" s="1"/>
  <c r="G154" s="1"/>
  <c r="L154" l="1"/>
  <c r="K154"/>
  <c r="I154"/>
  <c r="O128"/>
  <c r="O110" s="1"/>
  <c r="O106"/>
  <c r="O48" s="1"/>
  <c r="I39"/>
  <c r="J40"/>
  <c r="O13"/>
  <c r="O12" s="1"/>
  <c r="O154" l="1"/>
  <c r="J39"/>
  <c r="K40"/>
  <c r="K39" s="1"/>
  <c r="O40" l="1"/>
  <c r="O39" l="1"/>
</calcChain>
</file>

<file path=xl/sharedStrings.xml><?xml version="1.0" encoding="utf-8"?>
<sst xmlns="http://schemas.openxmlformats.org/spreadsheetml/2006/main" count="141" uniqueCount="126">
  <si>
    <t>(Valores en RD$)</t>
  </si>
  <si>
    <t>Presupuesto por ejecutar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</si>
  <si>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</si>
  <si>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</si>
  <si>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</si>
  <si>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</si>
  <si>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</si>
  <si>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</si>
  <si>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</si>
  <si>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</si>
  <si>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</si>
  <si>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</si>
  <si>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</si>
  <si>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</si>
  <si>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</si>
  <si>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</si>
  <si>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</si>
  <si>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</si>
  <si>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</si>
  <si>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</si>
  <si>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</si>
  <si>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</si>
  <si>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</si>
  <si>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</si>
  <si>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</si>
  <si>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</si>
  <si>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</si>
  <si>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</si>
  <si>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</si>
  <si>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</si>
  <si>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</si>
  <si>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</si>
  <si>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</si>
  <si>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</si>
  <si>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</si>
  <si>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</si>
  <si>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</si>
  <si>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</si>
  <si>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</si>
  <si>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</si>
  <si>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</si>
  <si>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</si>
  <si>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</si>
  <si>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</si>
  <si>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</si>
  <si>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</si>
  <si>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</si>
  <si>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</si>
  <si>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</si>
  <si>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</si>
  <si>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</si>
  <si>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</si>
  <si>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</si>
  <si>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</si>
  <si>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</si>
  <si>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</si>
  <si>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</si>
  <si>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</si>
  <si>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</si>
  <si>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</si>
  <si>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</si>
  <si>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</si>
  <si>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</si>
  <si>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</si>
  <si>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</si>
  <si>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</si>
  <si>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</si>
  <si>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</si>
  <si>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</si>
  <si>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</si>
  <si>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</si>
  <si>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</si>
  <si>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</si>
  <si>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</si>
  <si>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</si>
  <si>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</si>
  <si>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</si>
  <si>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</si>
  <si>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</si>
  <si>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</si>
  <si>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</si>
  <si>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</si>
  <si>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</si>
  <si>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</si>
  <si>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</si>
  <si>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</si>
  <si>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</si>
  <si>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</si>
  <si>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</si>
  <si>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</si>
  <si>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</si>
  <si>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</si>
  <si>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</si>
  <si>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</si>
  <si>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</si>
  <si>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</si>
  <si>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</si>
  <si>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</si>
  <si>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</si>
  <si>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</si>
  <si>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</si>
  <si>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</si>
  <si>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</si>
  <si>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</si>
  <si>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</si>
  <si>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</si>
  <si>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</si>
  <si>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</si>
  <si>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</si>
  <si>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</si>
  <si>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</si>
  <si>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</si>
  <si>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</si>
  <si>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</si>
  <si>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Presupuesto Ene-Dic.2024</t>
  </si>
  <si>
    <t>Ejecut. Enero,  2024</t>
  </si>
  <si>
    <t>Ejecut. Febrero,  2024</t>
  </si>
  <si>
    <t>Ejecut. Marzo,  2024</t>
  </si>
  <si>
    <t>Ejecut. Abril,  2024</t>
  </si>
  <si>
    <t>TOTAL</t>
  </si>
  <si>
    <t>Ejecut. Mayo,  2024</t>
  </si>
  <si>
    <t xml:space="preserve"> Ejecucion Presupuestal al 30 de Junio 2024</t>
  </si>
  <si>
    <t>Ejecut. Junio,  2024</t>
  </si>
  <si>
    <t>Director Administrativo Financiero</t>
  </si>
  <si>
    <t>Rafael Toribio</t>
  </si>
  <si>
    <t>Presidente CES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</si>
</sst>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4"/>
      <color theme="1"/>
      <name val="Calibri Light"/>
      <family val="2"/>
      <scheme val="major"/>
    </font>
    <font>
      <b/>
      <sz val="11"/>
      <color theme="1"/>
      <name val="Cambria"/>
      <family val="1"/>
    </font>
    <font>
      <b/>
      <sz val="13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41" fontId="5" fillId="0" borderId="10" xfId="0" applyNumberFormat="1" applyFont="1" applyBorder="1"/>
    <xf numFmtId="164" fontId="5" fillId="2" borderId="7" xfId="1" applyNumberFormat="1" applyFont="1" applyFill="1" applyBorder="1"/>
    <xf numFmtId="41" fontId="6" fillId="0" borderId="3" xfId="0" applyNumberFormat="1" applyFont="1" applyBorder="1"/>
    <xf numFmtId="164" fontId="5" fillId="2" borderId="9" xfId="1" applyNumberFormat="1" applyFont="1" applyFill="1" applyBorder="1"/>
    <xf numFmtId="164" fontId="4" fillId="2" borderId="7" xfId="1" applyNumberFormat="1" applyFont="1" applyFill="1" applyBorder="1"/>
    <xf numFmtId="164" fontId="5" fillId="2" borderId="10" xfId="1" applyNumberFormat="1" applyFont="1" applyFill="1" applyBorder="1"/>
    <xf numFmtId="43" fontId="0" fillId="0" borderId="0" xfId="0" applyNumberFormat="1"/>
    <xf numFmtId="164" fontId="6" fillId="2" borderId="7" xfId="1" applyNumberFormat="1" applyFont="1" applyFill="1" applyBorder="1"/>
    <xf numFmtId="164" fontId="6" fillId="2" borderId="9" xfId="1" applyNumberFormat="1" applyFont="1" applyFill="1" applyBorder="1"/>
    <xf numFmtId="164" fontId="5" fillId="2" borderId="4" xfId="1" applyNumberFormat="1" applyFont="1" applyFill="1" applyBorder="1"/>
    <xf numFmtId="164" fontId="5" fillId="2" borderId="3" xfId="1" applyNumberFormat="1" applyFont="1" applyFill="1" applyBorder="1"/>
    <xf numFmtId="164" fontId="6" fillId="2" borderId="3" xfId="1" applyNumberFormat="1" applyFont="1" applyFill="1" applyBorder="1"/>
    <xf numFmtId="0" fontId="2" fillId="0" borderId="0" xfId="0" applyFont="1"/>
    <xf numFmtId="164" fontId="6" fillId="2" borderId="10" xfId="1" applyNumberFormat="1" applyFont="1" applyFill="1" applyBorder="1"/>
    <xf numFmtId="164" fontId="5" fillId="2" borderId="12" xfId="1" applyNumberFormat="1" applyFont="1" applyFill="1" applyBorder="1"/>
    <xf numFmtId="0" fontId="0" fillId="2" borderId="0" xfId="0" applyFill="1"/>
    <xf numFmtId="43" fontId="0" fillId="0" borderId="0" xfId="1" applyFont="1"/>
    <xf numFmtId="41" fontId="6" fillId="0" borderId="7" xfId="0" applyNumberFormat="1" applyFont="1" applyBorder="1"/>
    <xf numFmtId="41" fontId="5" fillId="0" borderId="9" xfId="0" applyNumberFormat="1" applyFont="1" applyBorder="1"/>
    <xf numFmtId="164" fontId="4" fillId="2" borderId="3" xfId="1" applyNumberFormat="1" applyFont="1" applyFill="1" applyBorder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43" fontId="0" fillId="2" borderId="0" xfId="1" applyFont="1" applyFill="1"/>
    <xf numFmtId="43" fontId="3" fillId="0" borderId="0" xfId="0" applyNumberFormat="1" applyFont="1"/>
    <xf numFmtId="0" fontId="3" fillId="0" borderId="0" xfId="0" applyFont="1" applyAlignment="1">
      <alignment horizontal="center"/>
    </xf>
    <xf numFmtId="41" fontId="0" fillId="0" borderId="0" xfId="0" applyNumberFormat="1" applyAlignment="1">
      <alignment horizontal="center"/>
    </xf>
    <xf numFmtId="41" fontId="3" fillId="0" borderId="0" xfId="0" applyNumberFormat="1" applyFont="1" applyAlignment="1">
      <alignment horizontal="center"/>
    </xf>
    <xf numFmtId="43" fontId="9" fillId="0" borderId="0" xfId="0" applyNumberFormat="1" applyFont="1"/>
    <xf numFmtId="43" fontId="9" fillId="0" borderId="0" xfId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41" fontId="16" fillId="0" borderId="6" xfId="0" applyNumberFormat="1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3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1" fontId="12" fillId="0" borderId="0" xfId="0" applyNumberFormat="1" applyFont="1"/>
    <xf numFmtId="1" fontId="12" fillId="2" borderId="0" xfId="0" applyNumberFormat="1" applyFont="1" applyFill="1"/>
    <xf numFmtId="49" fontId="12" fillId="0" borderId="0" xfId="0" applyNumberFormat="1" applyFont="1" applyAlignment="1">
      <alignment horizontal="center"/>
    </xf>
    <xf numFmtId="0" fontId="17" fillId="0" borderId="0" xfId="0" applyFont="1"/>
    <xf numFmtId="43" fontId="12" fillId="2" borderId="0" xfId="1" applyFont="1" applyFill="1" applyBorder="1"/>
    <xf numFmtId="49" fontId="12" fillId="0" borderId="0" xfId="0" applyNumberFormat="1" applyFont="1"/>
    <xf numFmtId="0" fontId="17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43" fontId="10" fillId="2" borderId="0" xfId="1" applyFont="1" applyFill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horizontal="center"/>
    </xf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3" fillId="2" borderId="11" xfId="0" applyNumberFormat="1" applyFont="1" applyFill="1" applyBorder="1"/>
    <xf numFmtId="41" fontId="15" fillId="2" borderId="4" xfId="0" applyNumberFormat="1" applyFont="1" applyFill="1" applyBorder="1"/>
    <xf numFmtId="43" fontId="21" fillId="0" borderId="0" xfId="1" applyFont="1" applyAlignment="1">
      <alignment horizontal="left"/>
    </xf>
    <xf numFmtId="43" fontId="21" fillId="2" borderId="0" xfId="1" applyFont="1" applyFill="1" applyAlignment="1">
      <alignment horizontal="left"/>
    </xf>
    <xf numFmtId="164" fontId="12" fillId="2" borderId="8" xfId="1" applyNumberFormat="1" applyFont="1" applyFill="1" applyBorder="1"/>
    <xf numFmtId="164" fontId="15" fillId="2" borderId="13" xfId="1" applyNumberFormat="1" applyFont="1" applyFill="1" applyBorder="1"/>
    <xf numFmtId="164" fontId="13" fillId="2" borderId="13" xfId="1" applyNumberFormat="1" applyFont="1" applyFill="1" applyBorder="1"/>
    <xf numFmtId="41" fontId="0" fillId="0" borderId="0" xfId="0" applyNumberFormat="1"/>
    <xf numFmtId="43" fontId="21" fillId="0" borderId="0" xfId="1" applyFont="1" applyAlignment="1">
      <alignment wrapText="1"/>
    </xf>
    <xf numFmtId="43" fontId="0" fillId="0" borderId="0" xfId="1" applyFont="1" applyAlignment="1">
      <alignment wrapText="1"/>
    </xf>
    <xf numFmtId="0" fontId="17" fillId="0" borderId="0" xfId="0" applyFont="1" applyBorder="1" applyAlignment="1">
      <alignment horizontal="center"/>
    </xf>
    <xf numFmtId="43" fontId="14" fillId="2" borderId="0" xfId="1" applyFont="1" applyFill="1" applyBorder="1" applyAlignment="1">
      <alignment horizontal="center" wrapText="1"/>
    </xf>
    <xf numFmtId="43" fontId="23" fillId="2" borderId="0" xfId="1" applyFont="1" applyFill="1" applyBorder="1" applyAlignment="1">
      <alignment horizontal="center" wrapText="1"/>
    </xf>
    <xf numFmtId="41" fontId="24" fillId="0" borderId="0" xfId="0" applyNumberFormat="1" applyFont="1" applyAlignment="1">
      <alignment horizontal="center"/>
    </xf>
    <xf numFmtId="43" fontId="24" fillId="0" borderId="0" xfId="0" applyNumberFormat="1" applyFont="1"/>
    <xf numFmtId="41" fontId="21" fillId="0" borderId="0" xfId="0" applyNumberFormat="1" applyFont="1" applyAlignment="1">
      <alignment horizontal="center" wrapText="1"/>
    </xf>
    <xf numFmtId="43" fontId="2" fillId="0" borderId="0" xfId="1" applyFont="1"/>
    <xf numFmtId="41" fontId="21" fillId="0" borderId="0" xfId="0" applyNumberFormat="1" applyFont="1" applyAlignment="1">
      <alignment horizontal="left" wrapText="1"/>
    </xf>
    <xf numFmtId="41" fontId="24" fillId="0" borderId="0" xfId="0" applyNumberFormat="1" applyFont="1" applyAlignment="1">
      <alignment horizontal="left"/>
    </xf>
    <xf numFmtId="43" fontId="21" fillId="2" borderId="0" xfId="1" applyFont="1" applyFill="1"/>
    <xf numFmtId="41" fontId="3" fillId="0" borderId="0" xfId="0" applyNumberFormat="1" applyFont="1" applyAlignment="1">
      <alignment horizontal="left"/>
    </xf>
    <xf numFmtId="43" fontId="3" fillId="2" borderId="0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41" fontId="3" fillId="0" borderId="0" xfId="0" applyNumberFormat="1" applyFont="1"/>
    <xf numFmtId="1" fontId="21" fillId="2" borderId="0" xfId="0" applyNumberFormat="1" applyFont="1" applyFill="1" applyAlignment="1">
      <alignment horizontal="left" wrapText="1"/>
    </xf>
    <xf numFmtId="43" fontId="24" fillId="0" borderId="0" xfId="1" applyFont="1" applyAlignment="1">
      <alignment horizontal="left"/>
    </xf>
    <xf numFmtId="43" fontId="24" fillId="0" borderId="0" xfId="1" applyFont="1"/>
    <xf numFmtId="43" fontId="24" fillId="2" borderId="0" xfId="1" applyFont="1" applyFill="1" applyAlignment="1">
      <alignment horizontal="left"/>
    </xf>
    <xf numFmtId="43" fontId="3" fillId="2" borderId="0" xfId="1" applyFont="1" applyFill="1" applyAlignment="1">
      <alignment horizontal="left"/>
    </xf>
    <xf numFmtId="0" fontId="0" fillId="0" borderId="0" xfId="0" applyBorder="1"/>
    <xf numFmtId="43" fontId="24" fillId="2" borderId="0" xfId="1" applyFont="1" applyFill="1"/>
    <xf numFmtId="43" fontId="24" fillId="2" borderId="0" xfId="1" applyFont="1" applyFill="1" applyBorder="1"/>
    <xf numFmtId="43" fontId="24" fillId="2" borderId="14" xfId="1" applyFont="1" applyFill="1" applyBorder="1"/>
    <xf numFmtId="43" fontId="2" fillId="2" borderId="0" xfId="1" applyFont="1" applyFill="1" applyAlignment="1">
      <alignment horizontal="left"/>
    </xf>
    <xf numFmtId="43" fontId="24" fillId="2" borderId="17" xfId="1" applyFont="1" applyFill="1" applyBorder="1"/>
    <xf numFmtId="1" fontId="21" fillId="2" borderId="0" xfId="0" applyNumberFormat="1" applyFont="1" applyFill="1"/>
    <xf numFmtId="1" fontId="2" fillId="2" borderId="0" xfId="0" applyNumberFormat="1" applyFont="1" applyFill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164" fontId="0" fillId="0" borderId="0" xfId="0" applyNumberFormat="1"/>
    <xf numFmtId="41" fontId="15" fillId="2" borderId="13" xfId="0" applyNumberFormat="1" applyFont="1" applyFill="1" applyBorder="1"/>
    <xf numFmtId="41" fontId="22" fillId="0" borderId="0" xfId="0" applyNumberFormat="1" applyFont="1" applyAlignment="1">
      <alignment horizontal="center"/>
    </xf>
    <xf numFmtId="43" fontId="21" fillId="0" borderId="0" xfId="1" applyFont="1"/>
    <xf numFmtId="0" fontId="21" fillId="0" borderId="0" xfId="0" applyFont="1"/>
    <xf numFmtId="43" fontId="10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41" fontId="21" fillId="0" borderId="0" xfId="0" applyNumberFormat="1" applyFont="1" applyAlignment="1">
      <alignment horizontal="center"/>
    </xf>
    <xf numFmtId="43" fontId="18" fillId="0" borderId="0" xfId="1" applyFont="1" applyAlignment="1">
      <alignment horizontal="center"/>
    </xf>
    <xf numFmtId="43" fontId="21" fillId="0" borderId="0" xfId="1" applyFont="1" applyBorder="1"/>
    <xf numFmtId="43" fontId="21" fillId="2" borderId="0" xfId="1" applyFont="1" applyFill="1" applyBorder="1"/>
    <xf numFmtId="43" fontId="20" fillId="0" borderId="0" xfId="1" applyFont="1" applyAlignment="1">
      <alignment horizontal="center"/>
    </xf>
    <xf numFmtId="43" fontId="21" fillId="2" borderId="0" xfId="1" applyFont="1" applyFill="1" applyBorder="1" applyAlignment="1">
      <alignment horizontal="left"/>
    </xf>
    <xf numFmtId="43" fontId="21" fillId="0" borderId="0" xfId="1" applyFont="1" applyBorder="1" applyAlignment="1">
      <alignment horizontal="left"/>
    </xf>
    <xf numFmtId="43" fontId="19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1" fillId="0" borderId="0" xfId="0" applyNumberFormat="1" applyFont="1" applyBorder="1" applyAlignment="1">
      <alignment horizontal="left"/>
    </xf>
    <xf numFmtId="43" fontId="3" fillId="0" borderId="0" xfId="0" applyNumberFormat="1" applyFont="1" applyAlignment="1">
      <alignment horizontal="left"/>
    </xf>
    <xf numFmtId="43" fontId="21" fillId="0" borderId="0" xfId="0" applyNumberFormat="1" applyFont="1" applyBorder="1"/>
    <xf numFmtId="43" fontId="21" fillId="0" borderId="0" xfId="0" applyNumberFormat="1" applyFont="1"/>
    <xf numFmtId="43" fontId="24" fillId="0" borderId="0" xfId="1" applyFont="1" applyAlignment="1">
      <alignment horizontal="center"/>
    </xf>
    <xf numFmtId="43" fontId="24" fillId="0" borderId="18" xfId="1" applyFont="1" applyBorder="1"/>
    <xf numFmtId="43" fontId="17" fillId="0" borderId="0" xfId="1" applyFont="1" applyAlignment="1">
      <alignment horizontal="center"/>
    </xf>
    <xf numFmtId="43" fontId="24" fillId="0" borderId="18" xfId="0" applyNumberFormat="1" applyFont="1" applyBorder="1"/>
    <xf numFmtId="43" fontId="0" fillId="0" borderId="0" xfId="1" applyFont="1" applyBorder="1"/>
    <xf numFmtId="41" fontId="21" fillId="0" borderId="0" xfId="0" applyNumberFormat="1" applyFont="1" applyBorder="1" applyAlignment="1">
      <alignment horizontal="left" wrapText="1"/>
    </xf>
    <xf numFmtId="43" fontId="21" fillId="2" borderId="0" xfId="1" applyFont="1" applyFill="1" applyBorder="1" applyAlignment="1">
      <alignment horizontal="left" wrapText="1"/>
    </xf>
    <xf numFmtId="1" fontId="21" fillId="2" borderId="0" xfId="0" applyNumberFormat="1" applyFont="1" applyFill="1" applyBorder="1" applyAlignment="1">
      <alignment wrapText="1"/>
    </xf>
    <xf numFmtId="43" fontId="24" fillId="0" borderId="0" xfId="1" applyFont="1" applyBorder="1" applyAlignment="1">
      <alignment horizontal="left"/>
    </xf>
    <xf numFmtId="43" fontId="2" fillId="2" borderId="0" xfId="1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o%20Econ&#243;mico%20(CES)/2020/2019/BIANNY%20REYES%20PROYECTOS/Consejo%20Econ&#243;mico%20(CES)/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54"/>
  <sheetViews>
    <sheetView tabSelected="1" topLeftCell="A145" workbookViewId="0">
      <selection activeCell="P10" sqref="P10"/>
    </sheetView>
  </sheetViews>
  <sheetFormatPr baseColWidth="10" defaultColWidth="11.42578125" defaultRowHeight="15"/>
  <cols>
    <col min="1" max="1" width="6.7109375" customWidth="1"/>
    <col min="2" max="2" width="8.28515625" customWidth="1"/>
    <col min="3" max="3" width="7.42578125" bestFit="1" customWidth="1"/>
    <col min="4" max="4" width="5.7109375" customWidth="1"/>
    <col min="5" max="5" width="3.28515625" customWidth="1"/>
    <col min="6" max="6" width="34.5703125" customWidth="1"/>
    <col min="7" max="7" width="16.7109375" customWidth="1"/>
    <col min="8" max="8" width="14" style="23" customWidth="1"/>
    <col min="9" max="9" width="23.42578125" hidden="1" customWidth="1"/>
    <col min="10" max="10" width="14.28515625" customWidth="1"/>
    <col min="11" max="11" width="14.5703125" customWidth="1"/>
    <col min="12" max="12" width="16.42578125" customWidth="1"/>
    <col min="13" max="13" width="15.42578125" customWidth="1"/>
    <col min="14" max="14" width="13.7109375" customWidth="1"/>
    <col min="15" max="15" width="15.85546875" customWidth="1"/>
    <col min="16" max="16" width="51.28515625" customWidth="1"/>
    <col min="17" max="17" width="46.5703125" customWidth="1"/>
    <col min="18" max="18" width="40.85546875" customWidth="1"/>
    <col min="19" max="19" width="18.7109375" customWidth="1"/>
    <col min="20" max="20" width="17" customWidth="1"/>
    <col min="21" max="21" width="63.85546875" customWidth="1"/>
    <col min="22" max="22" width="38.140625" customWidth="1"/>
    <col min="23" max="23" width="13.85546875" bestFit="1" customWidth="1"/>
    <col min="24" max="24" width="36.7109375" customWidth="1"/>
    <col min="25" max="25" width="14.140625" bestFit="1" customWidth="1"/>
    <col min="26" max="26" width="87.140625" customWidth="1"/>
    <col min="27" max="27" width="37.5703125" customWidth="1"/>
    <col min="28" max="28" width="19.42578125" customWidth="1"/>
    <col min="29" max="29" width="66.42578125" customWidth="1"/>
    <col min="30" max="30" width="28.5703125" customWidth="1"/>
    <col min="31" max="31" width="19.140625" customWidth="1"/>
    <col min="32" max="33" width="14.140625" bestFit="1" customWidth="1"/>
    <col min="34" max="34" width="19.7109375" customWidth="1"/>
    <col min="36" max="36" width="13.140625" bestFit="1" customWidth="1"/>
    <col min="240" max="240" width="4.85546875" bestFit="1" customWidth="1"/>
    <col min="241" max="241" width="5.85546875" bestFit="1" customWidth="1"/>
    <col min="242" max="242" width="7.42578125" bestFit="1" customWidth="1"/>
    <col min="243" max="243" width="8.140625" bestFit="1" customWidth="1"/>
    <col min="244" max="244" width="4.5703125" bestFit="1" customWidth="1"/>
    <col min="245" max="245" width="57.5703125" customWidth="1"/>
    <col min="246" max="246" width="14.28515625" customWidth="1"/>
    <col min="247" max="247" width="0.85546875" customWidth="1"/>
    <col min="248" max="248" width="16.5703125" bestFit="1" customWidth="1"/>
    <col min="249" max="249" width="13.42578125" bestFit="1" customWidth="1"/>
    <col min="496" max="496" width="4.85546875" bestFit="1" customWidth="1"/>
    <col min="497" max="497" width="5.85546875" bestFit="1" customWidth="1"/>
    <col min="498" max="498" width="7.42578125" bestFit="1" customWidth="1"/>
    <col min="499" max="499" width="8.140625" bestFit="1" customWidth="1"/>
    <col min="500" max="500" width="4.5703125" bestFit="1" customWidth="1"/>
    <col min="501" max="501" width="57.5703125" customWidth="1"/>
    <col min="502" max="502" width="14.28515625" customWidth="1"/>
    <col min="503" max="503" width="0.85546875" customWidth="1"/>
    <col min="504" max="504" width="16.5703125" bestFit="1" customWidth="1"/>
    <col min="505" max="505" width="13.42578125" bestFit="1" customWidth="1"/>
    <col min="752" max="752" width="4.85546875" bestFit="1" customWidth="1"/>
    <col min="753" max="753" width="5.85546875" bestFit="1" customWidth="1"/>
    <col min="754" max="754" width="7.42578125" bestFit="1" customWidth="1"/>
    <col min="755" max="755" width="8.140625" bestFit="1" customWidth="1"/>
    <col min="756" max="756" width="4.5703125" bestFit="1" customWidth="1"/>
    <col min="757" max="757" width="57.5703125" customWidth="1"/>
    <col min="758" max="758" width="14.28515625" customWidth="1"/>
    <col min="759" max="759" width="0.85546875" customWidth="1"/>
    <col min="760" max="760" width="16.5703125" bestFit="1" customWidth="1"/>
    <col min="761" max="761" width="13.42578125" bestFit="1" customWidth="1"/>
    <col min="1008" max="1008" width="4.85546875" bestFit="1" customWidth="1"/>
    <col min="1009" max="1009" width="5.85546875" bestFit="1" customWidth="1"/>
    <col min="1010" max="1010" width="7.42578125" bestFit="1" customWidth="1"/>
    <col min="1011" max="1011" width="8.140625" bestFit="1" customWidth="1"/>
    <col min="1012" max="1012" width="4.5703125" bestFit="1" customWidth="1"/>
    <col min="1013" max="1013" width="57.5703125" customWidth="1"/>
    <col min="1014" max="1014" width="14.28515625" customWidth="1"/>
    <col min="1015" max="1015" width="0.85546875" customWidth="1"/>
    <col min="1016" max="1016" width="16.5703125" bestFit="1" customWidth="1"/>
    <col min="1017" max="1017" width="13.42578125" bestFit="1" customWidth="1"/>
    <col min="1264" max="1264" width="4.85546875" bestFit="1" customWidth="1"/>
    <col min="1265" max="1265" width="5.85546875" bestFit="1" customWidth="1"/>
    <col min="1266" max="1266" width="7.42578125" bestFit="1" customWidth="1"/>
    <col min="1267" max="1267" width="8.140625" bestFit="1" customWidth="1"/>
    <col min="1268" max="1268" width="4.5703125" bestFit="1" customWidth="1"/>
    <col min="1269" max="1269" width="57.5703125" customWidth="1"/>
    <col min="1270" max="1270" width="14.28515625" customWidth="1"/>
    <col min="1271" max="1271" width="0.85546875" customWidth="1"/>
    <col min="1272" max="1272" width="16.5703125" bestFit="1" customWidth="1"/>
    <col min="1273" max="1273" width="13.42578125" bestFit="1" customWidth="1"/>
    <col min="1520" max="1520" width="4.85546875" bestFit="1" customWidth="1"/>
    <col min="1521" max="1521" width="5.85546875" bestFit="1" customWidth="1"/>
    <col min="1522" max="1522" width="7.42578125" bestFit="1" customWidth="1"/>
    <col min="1523" max="1523" width="8.140625" bestFit="1" customWidth="1"/>
    <col min="1524" max="1524" width="4.5703125" bestFit="1" customWidth="1"/>
    <col min="1525" max="1525" width="57.5703125" customWidth="1"/>
    <col min="1526" max="1526" width="14.28515625" customWidth="1"/>
    <col min="1527" max="1527" width="0.85546875" customWidth="1"/>
    <col min="1528" max="1528" width="16.5703125" bestFit="1" customWidth="1"/>
    <col min="1529" max="1529" width="13.42578125" bestFit="1" customWidth="1"/>
    <col min="1776" max="1776" width="4.85546875" bestFit="1" customWidth="1"/>
    <col min="1777" max="1777" width="5.85546875" bestFit="1" customWidth="1"/>
    <col min="1778" max="1778" width="7.42578125" bestFit="1" customWidth="1"/>
    <col min="1779" max="1779" width="8.140625" bestFit="1" customWidth="1"/>
    <col min="1780" max="1780" width="4.5703125" bestFit="1" customWidth="1"/>
    <col min="1781" max="1781" width="57.5703125" customWidth="1"/>
    <col min="1782" max="1782" width="14.28515625" customWidth="1"/>
    <col min="1783" max="1783" width="0.85546875" customWidth="1"/>
    <col min="1784" max="1784" width="16.5703125" bestFit="1" customWidth="1"/>
    <col min="1785" max="1785" width="13.42578125" bestFit="1" customWidth="1"/>
    <col min="2032" max="2032" width="4.85546875" bestFit="1" customWidth="1"/>
    <col min="2033" max="2033" width="5.85546875" bestFit="1" customWidth="1"/>
    <col min="2034" max="2034" width="7.42578125" bestFit="1" customWidth="1"/>
    <col min="2035" max="2035" width="8.140625" bestFit="1" customWidth="1"/>
    <col min="2036" max="2036" width="4.5703125" bestFit="1" customWidth="1"/>
    <col min="2037" max="2037" width="57.5703125" customWidth="1"/>
    <col min="2038" max="2038" width="14.28515625" customWidth="1"/>
    <col min="2039" max="2039" width="0.85546875" customWidth="1"/>
    <col min="2040" max="2040" width="16.5703125" bestFit="1" customWidth="1"/>
    <col min="2041" max="2041" width="13.42578125" bestFit="1" customWidth="1"/>
    <col min="2288" max="2288" width="4.85546875" bestFit="1" customWidth="1"/>
    <col min="2289" max="2289" width="5.85546875" bestFit="1" customWidth="1"/>
    <col min="2290" max="2290" width="7.42578125" bestFit="1" customWidth="1"/>
    <col min="2291" max="2291" width="8.140625" bestFit="1" customWidth="1"/>
    <col min="2292" max="2292" width="4.5703125" bestFit="1" customWidth="1"/>
    <col min="2293" max="2293" width="57.5703125" customWidth="1"/>
    <col min="2294" max="2294" width="14.28515625" customWidth="1"/>
    <col min="2295" max="2295" width="0.85546875" customWidth="1"/>
    <col min="2296" max="2296" width="16.5703125" bestFit="1" customWidth="1"/>
    <col min="2297" max="2297" width="13.42578125" bestFit="1" customWidth="1"/>
    <col min="2544" max="2544" width="4.85546875" bestFit="1" customWidth="1"/>
    <col min="2545" max="2545" width="5.85546875" bestFit="1" customWidth="1"/>
    <col min="2546" max="2546" width="7.42578125" bestFit="1" customWidth="1"/>
    <col min="2547" max="2547" width="8.140625" bestFit="1" customWidth="1"/>
    <col min="2548" max="2548" width="4.5703125" bestFit="1" customWidth="1"/>
    <col min="2549" max="2549" width="57.5703125" customWidth="1"/>
    <col min="2550" max="2550" width="14.28515625" customWidth="1"/>
    <col min="2551" max="2551" width="0.85546875" customWidth="1"/>
    <col min="2552" max="2552" width="16.5703125" bestFit="1" customWidth="1"/>
    <col min="2553" max="2553" width="13.42578125" bestFit="1" customWidth="1"/>
    <col min="2800" max="2800" width="4.85546875" bestFit="1" customWidth="1"/>
    <col min="2801" max="2801" width="5.85546875" bestFit="1" customWidth="1"/>
    <col min="2802" max="2802" width="7.42578125" bestFit="1" customWidth="1"/>
    <col min="2803" max="2803" width="8.140625" bestFit="1" customWidth="1"/>
    <col min="2804" max="2804" width="4.5703125" bestFit="1" customWidth="1"/>
    <col min="2805" max="2805" width="57.5703125" customWidth="1"/>
    <col min="2806" max="2806" width="14.28515625" customWidth="1"/>
    <col min="2807" max="2807" width="0.85546875" customWidth="1"/>
    <col min="2808" max="2808" width="16.5703125" bestFit="1" customWidth="1"/>
    <col min="2809" max="2809" width="13.42578125" bestFit="1" customWidth="1"/>
    <col min="3056" max="3056" width="4.85546875" bestFit="1" customWidth="1"/>
    <col min="3057" max="3057" width="5.85546875" bestFit="1" customWidth="1"/>
    <col min="3058" max="3058" width="7.42578125" bestFit="1" customWidth="1"/>
    <col min="3059" max="3059" width="8.140625" bestFit="1" customWidth="1"/>
    <col min="3060" max="3060" width="4.5703125" bestFit="1" customWidth="1"/>
    <col min="3061" max="3061" width="57.5703125" customWidth="1"/>
    <col min="3062" max="3062" width="14.28515625" customWidth="1"/>
    <col min="3063" max="3063" width="0.85546875" customWidth="1"/>
    <col min="3064" max="3064" width="16.5703125" bestFit="1" customWidth="1"/>
    <col min="3065" max="3065" width="13.42578125" bestFit="1" customWidth="1"/>
    <col min="3312" max="3312" width="4.85546875" bestFit="1" customWidth="1"/>
    <col min="3313" max="3313" width="5.85546875" bestFit="1" customWidth="1"/>
    <col min="3314" max="3314" width="7.42578125" bestFit="1" customWidth="1"/>
    <col min="3315" max="3315" width="8.140625" bestFit="1" customWidth="1"/>
    <col min="3316" max="3316" width="4.5703125" bestFit="1" customWidth="1"/>
    <col min="3317" max="3317" width="57.5703125" customWidth="1"/>
    <col min="3318" max="3318" width="14.28515625" customWidth="1"/>
    <col min="3319" max="3319" width="0.85546875" customWidth="1"/>
    <col min="3320" max="3320" width="16.5703125" bestFit="1" customWidth="1"/>
    <col min="3321" max="3321" width="13.42578125" bestFit="1" customWidth="1"/>
    <col min="3568" max="3568" width="4.85546875" bestFit="1" customWidth="1"/>
    <col min="3569" max="3569" width="5.85546875" bestFit="1" customWidth="1"/>
    <col min="3570" max="3570" width="7.42578125" bestFit="1" customWidth="1"/>
    <col min="3571" max="3571" width="8.140625" bestFit="1" customWidth="1"/>
    <col min="3572" max="3572" width="4.5703125" bestFit="1" customWidth="1"/>
    <col min="3573" max="3573" width="57.5703125" customWidth="1"/>
    <col min="3574" max="3574" width="14.28515625" customWidth="1"/>
    <col min="3575" max="3575" width="0.85546875" customWidth="1"/>
    <col min="3576" max="3576" width="16.5703125" bestFit="1" customWidth="1"/>
    <col min="3577" max="3577" width="13.42578125" bestFit="1" customWidth="1"/>
    <col min="3824" max="3824" width="4.85546875" bestFit="1" customWidth="1"/>
    <col min="3825" max="3825" width="5.85546875" bestFit="1" customWidth="1"/>
    <col min="3826" max="3826" width="7.42578125" bestFit="1" customWidth="1"/>
    <col min="3827" max="3827" width="8.140625" bestFit="1" customWidth="1"/>
    <col min="3828" max="3828" width="4.5703125" bestFit="1" customWidth="1"/>
    <col min="3829" max="3829" width="57.5703125" customWidth="1"/>
    <col min="3830" max="3830" width="14.28515625" customWidth="1"/>
    <col min="3831" max="3831" width="0.85546875" customWidth="1"/>
    <col min="3832" max="3832" width="16.5703125" bestFit="1" customWidth="1"/>
    <col min="3833" max="3833" width="13.42578125" bestFit="1" customWidth="1"/>
    <col min="4080" max="4080" width="4.85546875" bestFit="1" customWidth="1"/>
    <col min="4081" max="4081" width="5.85546875" bestFit="1" customWidth="1"/>
    <col min="4082" max="4082" width="7.42578125" bestFit="1" customWidth="1"/>
    <col min="4083" max="4083" width="8.140625" bestFit="1" customWidth="1"/>
    <col min="4084" max="4084" width="4.5703125" bestFit="1" customWidth="1"/>
    <col min="4085" max="4085" width="57.5703125" customWidth="1"/>
    <col min="4086" max="4086" width="14.28515625" customWidth="1"/>
    <col min="4087" max="4087" width="0.85546875" customWidth="1"/>
    <col min="4088" max="4088" width="16.5703125" bestFit="1" customWidth="1"/>
    <col min="4089" max="4089" width="13.42578125" bestFit="1" customWidth="1"/>
    <col min="4336" max="4336" width="4.85546875" bestFit="1" customWidth="1"/>
    <col min="4337" max="4337" width="5.85546875" bestFit="1" customWidth="1"/>
    <col min="4338" max="4338" width="7.42578125" bestFit="1" customWidth="1"/>
    <col min="4339" max="4339" width="8.140625" bestFit="1" customWidth="1"/>
    <col min="4340" max="4340" width="4.5703125" bestFit="1" customWidth="1"/>
    <col min="4341" max="4341" width="57.5703125" customWidth="1"/>
    <col min="4342" max="4342" width="14.28515625" customWidth="1"/>
    <col min="4343" max="4343" width="0.85546875" customWidth="1"/>
    <col min="4344" max="4344" width="16.5703125" bestFit="1" customWidth="1"/>
    <col min="4345" max="4345" width="13.42578125" bestFit="1" customWidth="1"/>
    <col min="4592" max="4592" width="4.85546875" bestFit="1" customWidth="1"/>
    <col min="4593" max="4593" width="5.85546875" bestFit="1" customWidth="1"/>
    <col min="4594" max="4594" width="7.42578125" bestFit="1" customWidth="1"/>
    <col min="4595" max="4595" width="8.140625" bestFit="1" customWidth="1"/>
    <col min="4596" max="4596" width="4.5703125" bestFit="1" customWidth="1"/>
    <col min="4597" max="4597" width="57.5703125" customWidth="1"/>
    <col min="4598" max="4598" width="14.28515625" customWidth="1"/>
    <col min="4599" max="4599" width="0.85546875" customWidth="1"/>
    <col min="4600" max="4600" width="16.5703125" bestFit="1" customWidth="1"/>
    <col min="4601" max="4601" width="13.42578125" bestFit="1" customWidth="1"/>
    <col min="4848" max="4848" width="4.85546875" bestFit="1" customWidth="1"/>
    <col min="4849" max="4849" width="5.85546875" bestFit="1" customWidth="1"/>
    <col min="4850" max="4850" width="7.42578125" bestFit="1" customWidth="1"/>
    <col min="4851" max="4851" width="8.140625" bestFit="1" customWidth="1"/>
    <col min="4852" max="4852" width="4.5703125" bestFit="1" customWidth="1"/>
    <col min="4853" max="4853" width="57.5703125" customWidth="1"/>
    <col min="4854" max="4854" width="14.28515625" customWidth="1"/>
    <col min="4855" max="4855" width="0.85546875" customWidth="1"/>
    <col min="4856" max="4856" width="16.5703125" bestFit="1" customWidth="1"/>
    <col min="4857" max="4857" width="13.42578125" bestFit="1" customWidth="1"/>
    <col min="5104" max="5104" width="4.85546875" bestFit="1" customWidth="1"/>
    <col min="5105" max="5105" width="5.85546875" bestFit="1" customWidth="1"/>
    <col min="5106" max="5106" width="7.42578125" bestFit="1" customWidth="1"/>
    <col min="5107" max="5107" width="8.140625" bestFit="1" customWidth="1"/>
    <col min="5108" max="5108" width="4.5703125" bestFit="1" customWidth="1"/>
    <col min="5109" max="5109" width="57.5703125" customWidth="1"/>
    <col min="5110" max="5110" width="14.28515625" customWidth="1"/>
    <col min="5111" max="5111" width="0.85546875" customWidth="1"/>
    <col min="5112" max="5112" width="16.5703125" bestFit="1" customWidth="1"/>
    <col min="5113" max="5113" width="13.42578125" bestFit="1" customWidth="1"/>
    <col min="5360" max="5360" width="4.85546875" bestFit="1" customWidth="1"/>
    <col min="5361" max="5361" width="5.85546875" bestFit="1" customWidth="1"/>
    <col min="5362" max="5362" width="7.42578125" bestFit="1" customWidth="1"/>
    <col min="5363" max="5363" width="8.140625" bestFit="1" customWidth="1"/>
    <col min="5364" max="5364" width="4.5703125" bestFit="1" customWidth="1"/>
    <col min="5365" max="5365" width="57.5703125" customWidth="1"/>
    <col min="5366" max="5366" width="14.28515625" customWidth="1"/>
    <col min="5367" max="5367" width="0.85546875" customWidth="1"/>
    <col min="5368" max="5368" width="16.5703125" bestFit="1" customWidth="1"/>
    <col min="5369" max="5369" width="13.42578125" bestFit="1" customWidth="1"/>
    <col min="5616" max="5616" width="4.85546875" bestFit="1" customWidth="1"/>
    <col min="5617" max="5617" width="5.85546875" bestFit="1" customWidth="1"/>
    <col min="5618" max="5618" width="7.42578125" bestFit="1" customWidth="1"/>
    <col min="5619" max="5619" width="8.140625" bestFit="1" customWidth="1"/>
    <col min="5620" max="5620" width="4.5703125" bestFit="1" customWidth="1"/>
    <col min="5621" max="5621" width="57.5703125" customWidth="1"/>
    <col min="5622" max="5622" width="14.28515625" customWidth="1"/>
    <col min="5623" max="5623" width="0.85546875" customWidth="1"/>
    <col min="5624" max="5624" width="16.5703125" bestFit="1" customWidth="1"/>
    <col min="5625" max="5625" width="13.42578125" bestFit="1" customWidth="1"/>
    <col min="5872" max="5872" width="4.85546875" bestFit="1" customWidth="1"/>
    <col min="5873" max="5873" width="5.85546875" bestFit="1" customWidth="1"/>
    <col min="5874" max="5874" width="7.42578125" bestFit="1" customWidth="1"/>
    <col min="5875" max="5875" width="8.140625" bestFit="1" customWidth="1"/>
    <col min="5876" max="5876" width="4.5703125" bestFit="1" customWidth="1"/>
    <col min="5877" max="5877" width="57.5703125" customWidth="1"/>
    <col min="5878" max="5878" width="14.28515625" customWidth="1"/>
    <col min="5879" max="5879" width="0.85546875" customWidth="1"/>
    <col min="5880" max="5880" width="16.5703125" bestFit="1" customWidth="1"/>
    <col min="5881" max="5881" width="13.42578125" bestFit="1" customWidth="1"/>
    <col min="6128" max="6128" width="4.85546875" bestFit="1" customWidth="1"/>
    <col min="6129" max="6129" width="5.85546875" bestFit="1" customWidth="1"/>
    <col min="6130" max="6130" width="7.42578125" bestFit="1" customWidth="1"/>
    <col min="6131" max="6131" width="8.140625" bestFit="1" customWidth="1"/>
    <col min="6132" max="6132" width="4.5703125" bestFit="1" customWidth="1"/>
    <col min="6133" max="6133" width="57.5703125" customWidth="1"/>
    <col min="6134" max="6134" width="14.28515625" customWidth="1"/>
    <col min="6135" max="6135" width="0.85546875" customWidth="1"/>
    <col min="6136" max="6136" width="16.5703125" bestFit="1" customWidth="1"/>
    <col min="6137" max="6137" width="13.42578125" bestFit="1" customWidth="1"/>
    <col min="6384" max="6384" width="4.85546875" bestFit="1" customWidth="1"/>
    <col min="6385" max="6385" width="5.85546875" bestFit="1" customWidth="1"/>
    <col min="6386" max="6386" width="7.42578125" bestFit="1" customWidth="1"/>
    <col min="6387" max="6387" width="8.140625" bestFit="1" customWidth="1"/>
    <col min="6388" max="6388" width="4.5703125" bestFit="1" customWidth="1"/>
    <col min="6389" max="6389" width="57.5703125" customWidth="1"/>
    <col min="6390" max="6390" width="14.28515625" customWidth="1"/>
    <col min="6391" max="6391" width="0.85546875" customWidth="1"/>
    <col min="6392" max="6392" width="16.5703125" bestFit="1" customWidth="1"/>
    <col min="6393" max="6393" width="13.42578125" bestFit="1" customWidth="1"/>
    <col min="6640" max="6640" width="4.85546875" bestFit="1" customWidth="1"/>
    <col min="6641" max="6641" width="5.85546875" bestFit="1" customWidth="1"/>
    <col min="6642" max="6642" width="7.42578125" bestFit="1" customWidth="1"/>
    <col min="6643" max="6643" width="8.140625" bestFit="1" customWidth="1"/>
    <col min="6644" max="6644" width="4.5703125" bestFit="1" customWidth="1"/>
    <col min="6645" max="6645" width="57.5703125" customWidth="1"/>
    <col min="6646" max="6646" width="14.28515625" customWidth="1"/>
    <col min="6647" max="6647" width="0.85546875" customWidth="1"/>
    <col min="6648" max="6648" width="16.5703125" bestFit="1" customWidth="1"/>
    <col min="6649" max="6649" width="13.42578125" bestFit="1" customWidth="1"/>
    <col min="6896" max="6896" width="4.85546875" bestFit="1" customWidth="1"/>
    <col min="6897" max="6897" width="5.85546875" bestFit="1" customWidth="1"/>
    <col min="6898" max="6898" width="7.42578125" bestFit="1" customWidth="1"/>
    <col min="6899" max="6899" width="8.140625" bestFit="1" customWidth="1"/>
    <col min="6900" max="6900" width="4.5703125" bestFit="1" customWidth="1"/>
    <col min="6901" max="6901" width="57.5703125" customWidth="1"/>
    <col min="6902" max="6902" width="14.28515625" customWidth="1"/>
    <col min="6903" max="6903" width="0.85546875" customWidth="1"/>
    <col min="6904" max="6904" width="16.5703125" bestFit="1" customWidth="1"/>
    <col min="6905" max="6905" width="13.42578125" bestFit="1" customWidth="1"/>
    <col min="7152" max="7152" width="4.85546875" bestFit="1" customWidth="1"/>
    <col min="7153" max="7153" width="5.85546875" bestFit="1" customWidth="1"/>
    <col min="7154" max="7154" width="7.42578125" bestFit="1" customWidth="1"/>
    <col min="7155" max="7155" width="8.140625" bestFit="1" customWidth="1"/>
    <col min="7156" max="7156" width="4.5703125" bestFit="1" customWidth="1"/>
    <col min="7157" max="7157" width="57.5703125" customWidth="1"/>
    <col min="7158" max="7158" width="14.28515625" customWidth="1"/>
    <col min="7159" max="7159" width="0.85546875" customWidth="1"/>
    <col min="7160" max="7160" width="16.5703125" bestFit="1" customWidth="1"/>
    <col min="7161" max="7161" width="13.42578125" bestFit="1" customWidth="1"/>
    <col min="7408" max="7408" width="4.85546875" bestFit="1" customWidth="1"/>
    <col min="7409" max="7409" width="5.85546875" bestFit="1" customWidth="1"/>
    <col min="7410" max="7410" width="7.42578125" bestFit="1" customWidth="1"/>
    <col min="7411" max="7411" width="8.140625" bestFit="1" customWidth="1"/>
    <col min="7412" max="7412" width="4.5703125" bestFit="1" customWidth="1"/>
    <col min="7413" max="7413" width="57.5703125" customWidth="1"/>
    <col min="7414" max="7414" width="14.28515625" customWidth="1"/>
    <col min="7415" max="7415" width="0.85546875" customWidth="1"/>
    <col min="7416" max="7416" width="16.5703125" bestFit="1" customWidth="1"/>
    <col min="7417" max="7417" width="13.42578125" bestFit="1" customWidth="1"/>
    <col min="7664" max="7664" width="4.85546875" bestFit="1" customWidth="1"/>
    <col min="7665" max="7665" width="5.85546875" bestFit="1" customWidth="1"/>
    <col min="7666" max="7666" width="7.42578125" bestFit="1" customWidth="1"/>
    <col min="7667" max="7667" width="8.140625" bestFit="1" customWidth="1"/>
    <col min="7668" max="7668" width="4.5703125" bestFit="1" customWidth="1"/>
    <col min="7669" max="7669" width="57.5703125" customWidth="1"/>
    <col min="7670" max="7670" width="14.28515625" customWidth="1"/>
    <col min="7671" max="7671" width="0.85546875" customWidth="1"/>
    <col min="7672" max="7672" width="16.5703125" bestFit="1" customWidth="1"/>
    <col min="7673" max="7673" width="13.42578125" bestFit="1" customWidth="1"/>
    <col min="7920" max="7920" width="4.85546875" bestFit="1" customWidth="1"/>
    <col min="7921" max="7921" width="5.85546875" bestFit="1" customWidth="1"/>
    <col min="7922" max="7922" width="7.42578125" bestFit="1" customWidth="1"/>
    <col min="7923" max="7923" width="8.140625" bestFit="1" customWidth="1"/>
    <col min="7924" max="7924" width="4.5703125" bestFit="1" customWidth="1"/>
    <col min="7925" max="7925" width="57.5703125" customWidth="1"/>
    <col min="7926" max="7926" width="14.28515625" customWidth="1"/>
    <col min="7927" max="7927" width="0.85546875" customWidth="1"/>
    <col min="7928" max="7928" width="16.5703125" bestFit="1" customWidth="1"/>
    <col min="7929" max="7929" width="13.42578125" bestFit="1" customWidth="1"/>
    <col min="8176" max="8176" width="4.85546875" bestFit="1" customWidth="1"/>
    <col min="8177" max="8177" width="5.85546875" bestFit="1" customWidth="1"/>
    <col min="8178" max="8178" width="7.42578125" bestFit="1" customWidth="1"/>
    <col min="8179" max="8179" width="8.140625" bestFit="1" customWidth="1"/>
    <col min="8180" max="8180" width="4.5703125" bestFit="1" customWidth="1"/>
    <col min="8181" max="8181" width="57.5703125" customWidth="1"/>
    <col min="8182" max="8182" width="14.28515625" customWidth="1"/>
    <col min="8183" max="8183" width="0.85546875" customWidth="1"/>
    <col min="8184" max="8184" width="16.5703125" bestFit="1" customWidth="1"/>
    <col min="8185" max="8185" width="13.42578125" bestFit="1" customWidth="1"/>
    <col min="8432" max="8432" width="4.85546875" bestFit="1" customWidth="1"/>
    <col min="8433" max="8433" width="5.85546875" bestFit="1" customWidth="1"/>
    <col min="8434" max="8434" width="7.42578125" bestFit="1" customWidth="1"/>
    <col min="8435" max="8435" width="8.140625" bestFit="1" customWidth="1"/>
    <col min="8436" max="8436" width="4.5703125" bestFit="1" customWidth="1"/>
    <col min="8437" max="8437" width="57.5703125" customWidth="1"/>
    <col min="8438" max="8438" width="14.28515625" customWidth="1"/>
    <col min="8439" max="8439" width="0.85546875" customWidth="1"/>
    <col min="8440" max="8440" width="16.5703125" bestFit="1" customWidth="1"/>
    <col min="8441" max="8441" width="13.42578125" bestFit="1" customWidth="1"/>
    <col min="8688" max="8688" width="4.85546875" bestFit="1" customWidth="1"/>
    <col min="8689" max="8689" width="5.85546875" bestFit="1" customWidth="1"/>
    <col min="8690" max="8690" width="7.42578125" bestFit="1" customWidth="1"/>
    <col min="8691" max="8691" width="8.140625" bestFit="1" customWidth="1"/>
    <col min="8692" max="8692" width="4.5703125" bestFit="1" customWidth="1"/>
    <col min="8693" max="8693" width="57.5703125" customWidth="1"/>
    <col min="8694" max="8694" width="14.28515625" customWidth="1"/>
    <col min="8695" max="8695" width="0.85546875" customWidth="1"/>
    <col min="8696" max="8696" width="16.5703125" bestFit="1" customWidth="1"/>
    <col min="8697" max="8697" width="13.42578125" bestFit="1" customWidth="1"/>
    <col min="8944" max="8944" width="4.85546875" bestFit="1" customWidth="1"/>
    <col min="8945" max="8945" width="5.85546875" bestFit="1" customWidth="1"/>
    <col min="8946" max="8946" width="7.42578125" bestFit="1" customWidth="1"/>
    <col min="8947" max="8947" width="8.140625" bestFit="1" customWidth="1"/>
    <col min="8948" max="8948" width="4.5703125" bestFit="1" customWidth="1"/>
    <col min="8949" max="8949" width="57.5703125" customWidth="1"/>
    <col min="8950" max="8950" width="14.28515625" customWidth="1"/>
    <col min="8951" max="8951" width="0.85546875" customWidth="1"/>
    <col min="8952" max="8952" width="16.5703125" bestFit="1" customWidth="1"/>
    <col min="8953" max="8953" width="13.42578125" bestFit="1" customWidth="1"/>
    <col min="9200" max="9200" width="4.85546875" bestFit="1" customWidth="1"/>
    <col min="9201" max="9201" width="5.85546875" bestFit="1" customWidth="1"/>
    <col min="9202" max="9202" width="7.42578125" bestFit="1" customWidth="1"/>
    <col min="9203" max="9203" width="8.140625" bestFit="1" customWidth="1"/>
    <col min="9204" max="9204" width="4.5703125" bestFit="1" customWidth="1"/>
    <col min="9205" max="9205" width="57.5703125" customWidth="1"/>
    <col min="9206" max="9206" width="14.28515625" customWidth="1"/>
    <col min="9207" max="9207" width="0.85546875" customWidth="1"/>
    <col min="9208" max="9208" width="16.5703125" bestFit="1" customWidth="1"/>
    <col min="9209" max="9209" width="13.42578125" bestFit="1" customWidth="1"/>
    <col min="9456" max="9456" width="4.85546875" bestFit="1" customWidth="1"/>
    <col min="9457" max="9457" width="5.85546875" bestFit="1" customWidth="1"/>
    <col min="9458" max="9458" width="7.42578125" bestFit="1" customWidth="1"/>
    <col min="9459" max="9459" width="8.140625" bestFit="1" customWidth="1"/>
    <col min="9460" max="9460" width="4.5703125" bestFit="1" customWidth="1"/>
    <col min="9461" max="9461" width="57.5703125" customWidth="1"/>
    <col min="9462" max="9462" width="14.28515625" customWidth="1"/>
    <col min="9463" max="9463" width="0.85546875" customWidth="1"/>
    <col min="9464" max="9464" width="16.5703125" bestFit="1" customWidth="1"/>
    <col min="9465" max="9465" width="13.42578125" bestFit="1" customWidth="1"/>
    <col min="9712" max="9712" width="4.85546875" bestFit="1" customWidth="1"/>
    <col min="9713" max="9713" width="5.85546875" bestFit="1" customWidth="1"/>
    <col min="9714" max="9714" width="7.42578125" bestFit="1" customWidth="1"/>
    <col min="9715" max="9715" width="8.140625" bestFit="1" customWidth="1"/>
    <col min="9716" max="9716" width="4.5703125" bestFit="1" customWidth="1"/>
    <col min="9717" max="9717" width="57.5703125" customWidth="1"/>
    <col min="9718" max="9718" width="14.28515625" customWidth="1"/>
    <col min="9719" max="9719" width="0.85546875" customWidth="1"/>
    <col min="9720" max="9720" width="16.5703125" bestFit="1" customWidth="1"/>
    <col min="9721" max="9721" width="13.42578125" bestFit="1" customWidth="1"/>
    <col min="9968" max="9968" width="4.85546875" bestFit="1" customWidth="1"/>
    <col min="9969" max="9969" width="5.85546875" bestFit="1" customWidth="1"/>
    <col min="9970" max="9970" width="7.42578125" bestFit="1" customWidth="1"/>
    <col min="9971" max="9971" width="8.140625" bestFit="1" customWidth="1"/>
    <col min="9972" max="9972" width="4.5703125" bestFit="1" customWidth="1"/>
    <col min="9973" max="9973" width="57.5703125" customWidth="1"/>
    <col min="9974" max="9974" width="14.28515625" customWidth="1"/>
    <col min="9975" max="9975" width="0.85546875" customWidth="1"/>
    <col min="9976" max="9976" width="16.5703125" bestFit="1" customWidth="1"/>
    <col min="9977" max="9977" width="13.42578125" bestFit="1" customWidth="1"/>
    <col min="10224" max="10224" width="4.85546875" bestFit="1" customWidth="1"/>
    <col min="10225" max="10225" width="5.85546875" bestFit="1" customWidth="1"/>
    <col min="10226" max="10226" width="7.42578125" bestFit="1" customWidth="1"/>
    <col min="10227" max="10227" width="8.140625" bestFit="1" customWidth="1"/>
    <col min="10228" max="10228" width="4.5703125" bestFit="1" customWidth="1"/>
    <col min="10229" max="10229" width="57.5703125" customWidth="1"/>
    <col min="10230" max="10230" width="14.28515625" customWidth="1"/>
    <col min="10231" max="10231" width="0.85546875" customWidth="1"/>
    <col min="10232" max="10232" width="16.5703125" bestFit="1" customWidth="1"/>
    <col min="10233" max="10233" width="13.42578125" bestFit="1" customWidth="1"/>
    <col min="10480" max="10480" width="4.85546875" bestFit="1" customWidth="1"/>
    <col min="10481" max="10481" width="5.85546875" bestFit="1" customWidth="1"/>
    <col min="10482" max="10482" width="7.42578125" bestFit="1" customWidth="1"/>
    <col min="10483" max="10483" width="8.140625" bestFit="1" customWidth="1"/>
    <col min="10484" max="10484" width="4.5703125" bestFit="1" customWidth="1"/>
    <col min="10485" max="10485" width="57.5703125" customWidth="1"/>
    <col min="10486" max="10486" width="14.28515625" customWidth="1"/>
    <col min="10487" max="10487" width="0.85546875" customWidth="1"/>
    <col min="10488" max="10488" width="16.5703125" bestFit="1" customWidth="1"/>
    <col min="10489" max="10489" width="13.42578125" bestFit="1" customWidth="1"/>
    <col min="10736" max="10736" width="4.85546875" bestFit="1" customWidth="1"/>
    <col min="10737" max="10737" width="5.85546875" bestFit="1" customWidth="1"/>
    <col min="10738" max="10738" width="7.42578125" bestFit="1" customWidth="1"/>
    <col min="10739" max="10739" width="8.140625" bestFit="1" customWidth="1"/>
    <col min="10740" max="10740" width="4.5703125" bestFit="1" customWidth="1"/>
    <col min="10741" max="10741" width="57.5703125" customWidth="1"/>
    <col min="10742" max="10742" width="14.28515625" customWidth="1"/>
    <col min="10743" max="10743" width="0.85546875" customWidth="1"/>
    <col min="10744" max="10744" width="16.5703125" bestFit="1" customWidth="1"/>
    <col min="10745" max="10745" width="13.42578125" bestFit="1" customWidth="1"/>
    <col min="10992" max="10992" width="4.85546875" bestFit="1" customWidth="1"/>
    <col min="10993" max="10993" width="5.85546875" bestFit="1" customWidth="1"/>
    <col min="10994" max="10994" width="7.42578125" bestFit="1" customWidth="1"/>
    <col min="10995" max="10995" width="8.140625" bestFit="1" customWidth="1"/>
    <col min="10996" max="10996" width="4.5703125" bestFit="1" customWidth="1"/>
    <col min="10997" max="10997" width="57.5703125" customWidth="1"/>
    <col min="10998" max="10998" width="14.28515625" customWidth="1"/>
    <col min="10999" max="10999" width="0.85546875" customWidth="1"/>
    <col min="11000" max="11000" width="16.5703125" bestFit="1" customWidth="1"/>
    <col min="11001" max="11001" width="13.42578125" bestFit="1" customWidth="1"/>
    <col min="11248" max="11248" width="4.85546875" bestFit="1" customWidth="1"/>
    <col min="11249" max="11249" width="5.85546875" bestFit="1" customWidth="1"/>
    <col min="11250" max="11250" width="7.42578125" bestFit="1" customWidth="1"/>
    <col min="11251" max="11251" width="8.140625" bestFit="1" customWidth="1"/>
    <col min="11252" max="11252" width="4.5703125" bestFit="1" customWidth="1"/>
    <col min="11253" max="11253" width="57.5703125" customWidth="1"/>
    <col min="11254" max="11254" width="14.28515625" customWidth="1"/>
    <col min="11255" max="11255" width="0.85546875" customWidth="1"/>
    <col min="11256" max="11256" width="16.5703125" bestFit="1" customWidth="1"/>
    <col min="11257" max="11257" width="13.42578125" bestFit="1" customWidth="1"/>
    <col min="11504" max="11504" width="4.85546875" bestFit="1" customWidth="1"/>
    <col min="11505" max="11505" width="5.85546875" bestFit="1" customWidth="1"/>
    <col min="11506" max="11506" width="7.42578125" bestFit="1" customWidth="1"/>
    <col min="11507" max="11507" width="8.140625" bestFit="1" customWidth="1"/>
    <col min="11508" max="11508" width="4.5703125" bestFit="1" customWidth="1"/>
    <col min="11509" max="11509" width="57.5703125" customWidth="1"/>
    <col min="11510" max="11510" width="14.28515625" customWidth="1"/>
    <col min="11511" max="11511" width="0.85546875" customWidth="1"/>
    <col min="11512" max="11512" width="16.5703125" bestFit="1" customWidth="1"/>
    <col min="11513" max="11513" width="13.42578125" bestFit="1" customWidth="1"/>
    <col min="11760" max="11760" width="4.85546875" bestFit="1" customWidth="1"/>
    <col min="11761" max="11761" width="5.85546875" bestFit="1" customWidth="1"/>
    <col min="11762" max="11762" width="7.42578125" bestFit="1" customWidth="1"/>
    <col min="11763" max="11763" width="8.140625" bestFit="1" customWidth="1"/>
    <col min="11764" max="11764" width="4.5703125" bestFit="1" customWidth="1"/>
    <col min="11765" max="11765" width="57.5703125" customWidth="1"/>
    <col min="11766" max="11766" width="14.28515625" customWidth="1"/>
    <col min="11767" max="11767" width="0.85546875" customWidth="1"/>
    <col min="11768" max="11768" width="16.5703125" bestFit="1" customWidth="1"/>
    <col min="11769" max="11769" width="13.42578125" bestFit="1" customWidth="1"/>
    <col min="12016" max="12016" width="4.85546875" bestFit="1" customWidth="1"/>
    <col min="12017" max="12017" width="5.85546875" bestFit="1" customWidth="1"/>
    <col min="12018" max="12018" width="7.42578125" bestFit="1" customWidth="1"/>
    <col min="12019" max="12019" width="8.140625" bestFit="1" customWidth="1"/>
    <col min="12020" max="12020" width="4.5703125" bestFit="1" customWidth="1"/>
    <col min="12021" max="12021" width="57.5703125" customWidth="1"/>
    <col min="12022" max="12022" width="14.28515625" customWidth="1"/>
    <col min="12023" max="12023" width="0.85546875" customWidth="1"/>
    <col min="12024" max="12024" width="16.5703125" bestFit="1" customWidth="1"/>
    <col min="12025" max="12025" width="13.42578125" bestFit="1" customWidth="1"/>
    <col min="12272" max="12272" width="4.85546875" bestFit="1" customWidth="1"/>
    <col min="12273" max="12273" width="5.85546875" bestFit="1" customWidth="1"/>
    <col min="12274" max="12274" width="7.42578125" bestFit="1" customWidth="1"/>
    <col min="12275" max="12275" width="8.140625" bestFit="1" customWidth="1"/>
    <col min="12276" max="12276" width="4.5703125" bestFit="1" customWidth="1"/>
    <col min="12277" max="12277" width="57.5703125" customWidth="1"/>
    <col min="12278" max="12278" width="14.28515625" customWidth="1"/>
    <col min="12279" max="12279" width="0.85546875" customWidth="1"/>
    <col min="12280" max="12280" width="16.5703125" bestFit="1" customWidth="1"/>
    <col min="12281" max="12281" width="13.42578125" bestFit="1" customWidth="1"/>
    <col min="12528" max="12528" width="4.85546875" bestFit="1" customWidth="1"/>
    <col min="12529" max="12529" width="5.85546875" bestFit="1" customWidth="1"/>
    <col min="12530" max="12530" width="7.42578125" bestFit="1" customWidth="1"/>
    <col min="12531" max="12531" width="8.140625" bestFit="1" customWidth="1"/>
    <col min="12532" max="12532" width="4.5703125" bestFit="1" customWidth="1"/>
    <col min="12533" max="12533" width="57.5703125" customWidth="1"/>
    <col min="12534" max="12534" width="14.28515625" customWidth="1"/>
    <col min="12535" max="12535" width="0.85546875" customWidth="1"/>
    <col min="12536" max="12536" width="16.5703125" bestFit="1" customWidth="1"/>
    <col min="12537" max="12537" width="13.42578125" bestFit="1" customWidth="1"/>
    <col min="12784" max="12784" width="4.85546875" bestFit="1" customWidth="1"/>
    <col min="12785" max="12785" width="5.85546875" bestFit="1" customWidth="1"/>
    <col min="12786" max="12786" width="7.42578125" bestFit="1" customWidth="1"/>
    <col min="12787" max="12787" width="8.140625" bestFit="1" customWidth="1"/>
    <col min="12788" max="12788" width="4.5703125" bestFit="1" customWidth="1"/>
    <col min="12789" max="12789" width="57.5703125" customWidth="1"/>
    <col min="12790" max="12790" width="14.28515625" customWidth="1"/>
    <col min="12791" max="12791" width="0.85546875" customWidth="1"/>
    <col min="12792" max="12792" width="16.5703125" bestFit="1" customWidth="1"/>
    <col min="12793" max="12793" width="13.42578125" bestFit="1" customWidth="1"/>
    <col min="13040" max="13040" width="4.85546875" bestFit="1" customWidth="1"/>
    <col min="13041" max="13041" width="5.85546875" bestFit="1" customWidth="1"/>
    <col min="13042" max="13042" width="7.42578125" bestFit="1" customWidth="1"/>
    <col min="13043" max="13043" width="8.140625" bestFit="1" customWidth="1"/>
    <col min="13044" max="13044" width="4.5703125" bestFit="1" customWidth="1"/>
    <col min="13045" max="13045" width="57.5703125" customWidth="1"/>
    <col min="13046" max="13046" width="14.28515625" customWidth="1"/>
    <col min="13047" max="13047" width="0.85546875" customWidth="1"/>
    <col min="13048" max="13048" width="16.5703125" bestFit="1" customWidth="1"/>
    <col min="13049" max="13049" width="13.42578125" bestFit="1" customWidth="1"/>
    <col min="13296" max="13296" width="4.85546875" bestFit="1" customWidth="1"/>
    <col min="13297" max="13297" width="5.85546875" bestFit="1" customWidth="1"/>
    <col min="13298" max="13298" width="7.42578125" bestFit="1" customWidth="1"/>
    <col min="13299" max="13299" width="8.140625" bestFit="1" customWidth="1"/>
    <col min="13300" max="13300" width="4.5703125" bestFit="1" customWidth="1"/>
    <col min="13301" max="13301" width="57.5703125" customWidth="1"/>
    <col min="13302" max="13302" width="14.28515625" customWidth="1"/>
    <col min="13303" max="13303" width="0.85546875" customWidth="1"/>
    <col min="13304" max="13304" width="16.5703125" bestFit="1" customWidth="1"/>
    <col min="13305" max="13305" width="13.42578125" bestFit="1" customWidth="1"/>
    <col min="13552" max="13552" width="4.85546875" bestFit="1" customWidth="1"/>
    <col min="13553" max="13553" width="5.85546875" bestFit="1" customWidth="1"/>
    <col min="13554" max="13554" width="7.42578125" bestFit="1" customWidth="1"/>
    <col min="13555" max="13555" width="8.140625" bestFit="1" customWidth="1"/>
    <col min="13556" max="13556" width="4.5703125" bestFit="1" customWidth="1"/>
    <col min="13557" max="13557" width="57.5703125" customWidth="1"/>
    <col min="13558" max="13558" width="14.28515625" customWidth="1"/>
    <col min="13559" max="13559" width="0.85546875" customWidth="1"/>
    <col min="13560" max="13560" width="16.5703125" bestFit="1" customWidth="1"/>
    <col min="13561" max="13561" width="13.42578125" bestFit="1" customWidth="1"/>
    <col min="13808" max="13808" width="4.85546875" bestFit="1" customWidth="1"/>
    <col min="13809" max="13809" width="5.85546875" bestFit="1" customWidth="1"/>
    <col min="13810" max="13810" width="7.42578125" bestFit="1" customWidth="1"/>
    <col min="13811" max="13811" width="8.140625" bestFit="1" customWidth="1"/>
    <col min="13812" max="13812" width="4.5703125" bestFit="1" customWidth="1"/>
    <col min="13813" max="13813" width="57.5703125" customWidth="1"/>
    <col min="13814" max="13814" width="14.28515625" customWidth="1"/>
    <col min="13815" max="13815" width="0.85546875" customWidth="1"/>
    <col min="13816" max="13816" width="16.5703125" bestFit="1" customWidth="1"/>
    <col min="13817" max="13817" width="13.42578125" bestFit="1" customWidth="1"/>
    <col min="14064" max="14064" width="4.85546875" bestFit="1" customWidth="1"/>
    <col min="14065" max="14065" width="5.85546875" bestFit="1" customWidth="1"/>
    <col min="14066" max="14066" width="7.42578125" bestFit="1" customWidth="1"/>
    <col min="14067" max="14067" width="8.140625" bestFit="1" customWidth="1"/>
    <col min="14068" max="14068" width="4.5703125" bestFit="1" customWidth="1"/>
    <col min="14069" max="14069" width="57.5703125" customWidth="1"/>
    <col min="14070" max="14070" width="14.28515625" customWidth="1"/>
    <col min="14071" max="14071" width="0.85546875" customWidth="1"/>
    <col min="14072" max="14072" width="16.5703125" bestFit="1" customWidth="1"/>
    <col min="14073" max="14073" width="13.42578125" bestFit="1" customWidth="1"/>
    <col min="14320" max="14320" width="4.85546875" bestFit="1" customWidth="1"/>
    <col min="14321" max="14321" width="5.85546875" bestFit="1" customWidth="1"/>
    <col min="14322" max="14322" width="7.42578125" bestFit="1" customWidth="1"/>
    <col min="14323" max="14323" width="8.140625" bestFit="1" customWidth="1"/>
    <col min="14324" max="14324" width="4.5703125" bestFit="1" customWidth="1"/>
    <col min="14325" max="14325" width="57.5703125" customWidth="1"/>
    <col min="14326" max="14326" width="14.28515625" customWidth="1"/>
    <col min="14327" max="14327" width="0.85546875" customWidth="1"/>
    <col min="14328" max="14328" width="16.5703125" bestFit="1" customWidth="1"/>
    <col min="14329" max="14329" width="13.42578125" bestFit="1" customWidth="1"/>
    <col min="14576" max="14576" width="4.85546875" bestFit="1" customWidth="1"/>
    <col min="14577" max="14577" width="5.85546875" bestFit="1" customWidth="1"/>
    <col min="14578" max="14578" width="7.42578125" bestFit="1" customWidth="1"/>
    <col min="14579" max="14579" width="8.140625" bestFit="1" customWidth="1"/>
    <col min="14580" max="14580" width="4.5703125" bestFit="1" customWidth="1"/>
    <col min="14581" max="14581" width="57.5703125" customWidth="1"/>
    <col min="14582" max="14582" width="14.28515625" customWidth="1"/>
    <col min="14583" max="14583" width="0.85546875" customWidth="1"/>
    <col min="14584" max="14584" width="16.5703125" bestFit="1" customWidth="1"/>
    <col min="14585" max="14585" width="13.42578125" bestFit="1" customWidth="1"/>
    <col min="14832" max="14832" width="4.85546875" bestFit="1" customWidth="1"/>
    <col min="14833" max="14833" width="5.85546875" bestFit="1" customWidth="1"/>
    <col min="14834" max="14834" width="7.42578125" bestFit="1" customWidth="1"/>
    <col min="14835" max="14835" width="8.140625" bestFit="1" customWidth="1"/>
    <col min="14836" max="14836" width="4.5703125" bestFit="1" customWidth="1"/>
    <col min="14837" max="14837" width="57.5703125" customWidth="1"/>
    <col min="14838" max="14838" width="14.28515625" customWidth="1"/>
    <col min="14839" max="14839" width="0.85546875" customWidth="1"/>
    <col min="14840" max="14840" width="16.5703125" bestFit="1" customWidth="1"/>
    <col min="14841" max="14841" width="13.42578125" bestFit="1" customWidth="1"/>
    <col min="15088" max="15088" width="4.85546875" bestFit="1" customWidth="1"/>
    <col min="15089" max="15089" width="5.85546875" bestFit="1" customWidth="1"/>
    <col min="15090" max="15090" width="7.42578125" bestFit="1" customWidth="1"/>
    <col min="15091" max="15091" width="8.140625" bestFit="1" customWidth="1"/>
    <col min="15092" max="15092" width="4.5703125" bestFit="1" customWidth="1"/>
    <col min="15093" max="15093" width="57.5703125" customWidth="1"/>
    <col min="15094" max="15094" width="14.28515625" customWidth="1"/>
    <col min="15095" max="15095" width="0.85546875" customWidth="1"/>
    <col min="15096" max="15096" width="16.5703125" bestFit="1" customWidth="1"/>
    <col min="15097" max="15097" width="13.42578125" bestFit="1" customWidth="1"/>
    <col min="15344" max="15344" width="4.85546875" bestFit="1" customWidth="1"/>
    <col min="15345" max="15345" width="5.85546875" bestFit="1" customWidth="1"/>
    <col min="15346" max="15346" width="7.42578125" bestFit="1" customWidth="1"/>
    <col min="15347" max="15347" width="8.140625" bestFit="1" customWidth="1"/>
    <col min="15348" max="15348" width="4.5703125" bestFit="1" customWidth="1"/>
    <col min="15349" max="15349" width="57.5703125" customWidth="1"/>
    <col min="15350" max="15350" width="14.28515625" customWidth="1"/>
    <col min="15351" max="15351" width="0.85546875" customWidth="1"/>
    <col min="15352" max="15352" width="16.5703125" bestFit="1" customWidth="1"/>
    <col min="15353" max="15353" width="13.42578125" bestFit="1" customWidth="1"/>
    <col min="15600" max="15600" width="4.85546875" bestFit="1" customWidth="1"/>
    <col min="15601" max="15601" width="5.85546875" bestFit="1" customWidth="1"/>
    <col min="15602" max="15602" width="7.42578125" bestFit="1" customWidth="1"/>
    <col min="15603" max="15603" width="8.140625" bestFit="1" customWidth="1"/>
    <col min="15604" max="15604" width="4.5703125" bestFit="1" customWidth="1"/>
    <col min="15605" max="15605" width="57.5703125" customWidth="1"/>
    <col min="15606" max="15606" width="14.28515625" customWidth="1"/>
    <col min="15607" max="15607" width="0.85546875" customWidth="1"/>
    <col min="15608" max="15608" width="16.5703125" bestFit="1" customWidth="1"/>
    <col min="15609" max="15609" width="13.42578125" bestFit="1" customWidth="1"/>
    <col min="15856" max="15856" width="4.85546875" bestFit="1" customWidth="1"/>
    <col min="15857" max="15857" width="5.85546875" bestFit="1" customWidth="1"/>
    <col min="15858" max="15858" width="7.42578125" bestFit="1" customWidth="1"/>
    <col min="15859" max="15859" width="8.140625" bestFit="1" customWidth="1"/>
    <col min="15860" max="15860" width="4.5703125" bestFit="1" customWidth="1"/>
    <col min="15861" max="15861" width="57.5703125" customWidth="1"/>
    <col min="15862" max="15862" width="14.28515625" customWidth="1"/>
    <col min="15863" max="15863" width="0.85546875" customWidth="1"/>
    <col min="15864" max="15864" width="16.5703125" bestFit="1" customWidth="1"/>
    <col min="15865" max="15865" width="13.42578125" bestFit="1" customWidth="1"/>
    <col min="16112" max="16112" width="4.85546875" bestFit="1" customWidth="1"/>
    <col min="16113" max="16113" width="5.85546875" bestFit="1" customWidth="1"/>
    <col min="16114" max="16114" width="7.42578125" bestFit="1" customWidth="1"/>
    <col min="16115" max="16115" width="8.140625" bestFit="1" customWidth="1"/>
    <col min="16116" max="16116" width="4.5703125" bestFit="1" customWidth="1"/>
    <col min="16117" max="16117" width="57.5703125" customWidth="1"/>
    <col min="16118" max="16118" width="14.28515625" customWidth="1"/>
    <col min="16119" max="16119" width="0.85546875" customWidth="1"/>
    <col min="16120" max="16120" width="16.5703125" bestFit="1" customWidth="1"/>
    <col min="16121" max="16121" width="13.42578125" bestFit="1" customWidth="1"/>
  </cols>
  <sheetData>
    <row r="1" spans="1:15">
      <c r="A1" s="35"/>
      <c r="B1" s="35"/>
      <c r="C1" s="35"/>
      <c r="D1" s="35"/>
      <c r="E1" s="35"/>
      <c r="F1" s="35"/>
      <c r="G1" s="35"/>
      <c r="H1" s="36"/>
      <c r="I1" s="1"/>
    </row>
    <row r="2" spans="1:15">
      <c r="A2" s="35"/>
      <c r="B2" s="35"/>
      <c r="C2" s="35"/>
      <c r="D2" s="35"/>
      <c r="E2" s="35"/>
      <c r="F2" s="35"/>
      <c r="G2" s="35"/>
      <c r="H2" s="36"/>
      <c r="I2" s="1"/>
    </row>
    <row r="3" spans="1:15">
      <c r="A3" s="35"/>
      <c r="B3" s="35"/>
      <c r="C3" s="35"/>
      <c r="D3" s="35"/>
      <c r="E3" s="35"/>
      <c r="F3" s="35"/>
      <c r="G3" s="35"/>
      <c r="H3" s="36"/>
      <c r="I3" s="1"/>
    </row>
    <row r="4" spans="1:15">
      <c r="A4" s="35"/>
      <c r="B4" s="35"/>
      <c r="C4" s="35"/>
      <c r="D4" s="35"/>
      <c r="E4" s="35"/>
      <c r="F4" s="35"/>
      <c r="G4" s="35"/>
      <c r="H4" s="36"/>
      <c r="I4" s="1"/>
    </row>
    <row r="5" spans="1:15" s="113" customFormat="1" ht="20.25" customHeight="1">
      <c r="A5" s="197" t="str">
        <f>'[1]Estado de flujo de Efectivo'!A1:B1</f>
        <v>Consejo Económico y Social -CES-</v>
      </c>
      <c r="B5" s="197"/>
      <c r="C5" s="197"/>
      <c r="D5" s="197"/>
      <c r="E5" s="197"/>
      <c r="F5" s="197"/>
      <c r="G5" s="197"/>
      <c r="H5" s="197"/>
      <c r="I5" s="28"/>
    </row>
    <row r="6" spans="1:15" s="113" customFormat="1" ht="20.25" customHeight="1">
      <c r="A6" s="197" t="s">
        <v>121</v>
      </c>
      <c r="B6" s="197"/>
      <c r="C6" s="197"/>
      <c r="D6" s="197"/>
      <c r="E6" s="197"/>
      <c r="F6" s="197"/>
      <c r="G6" s="197"/>
      <c r="H6" s="197"/>
      <c r="I6" s="28"/>
    </row>
    <row r="7" spans="1:15" s="113" customFormat="1" ht="20.25" customHeight="1">
      <c r="A7" s="197" t="s">
        <v>0</v>
      </c>
      <c r="B7" s="197"/>
      <c r="C7" s="197"/>
      <c r="D7" s="197"/>
      <c r="E7" s="197"/>
      <c r="F7" s="197"/>
      <c r="G7" s="197"/>
      <c r="H7" s="197"/>
      <c r="I7" s="28"/>
    </row>
    <row r="8" spans="1:15" s="113" customFormat="1" ht="18.75" customHeight="1" thickBot="1">
      <c r="A8" s="94"/>
      <c r="B8" s="94"/>
      <c r="C8" s="94"/>
      <c r="D8" s="94"/>
      <c r="E8" s="94"/>
      <c r="F8" s="38"/>
      <c r="G8" s="38"/>
      <c r="H8" s="39"/>
      <c r="I8" s="28"/>
    </row>
    <row r="9" spans="1:15" ht="0.75" customHeight="1" thickBot="1">
      <c r="A9" s="109"/>
      <c r="B9" s="109"/>
      <c r="C9" s="110"/>
      <c r="D9" s="110"/>
      <c r="E9" s="111"/>
      <c r="F9" s="40"/>
      <c r="G9" s="41" t="s">
        <v>114</v>
      </c>
      <c r="H9" s="42" t="s">
        <v>115</v>
      </c>
      <c r="I9" s="2" t="s">
        <v>1</v>
      </c>
      <c r="J9" s="42" t="s">
        <v>116</v>
      </c>
      <c r="K9" s="42" t="s">
        <v>117</v>
      </c>
      <c r="L9" s="42" t="s">
        <v>118</v>
      </c>
      <c r="M9" s="42" t="s">
        <v>120</v>
      </c>
      <c r="N9" s="42" t="s">
        <v>122</v>
      </c>
      <c r="O9" s="114" t="s">
        <v>119</v>
      </c>
    </row>
    <row r="10" spans="1:15" ht="52.5" customHeight="1" thickBot="1">
      <c r="A10" s="109"/>
      <c r="B10" s="109"/>
      <c r="C10" s="110"/>
      <c r="D10" s="110"/>
      <c r="E10" s="111"/>
      <c r="F10" s="40"/>
      <c r="G10" s="41" t="s">
        <v>114</v>
      </c>
      <c r="H10" s="42" t="s">
        <v>115</v>
      </c>
      <c r="I10" s="2" t="s">
        <v>1</v>
      </c>
      <c r="J10" s="42" t="s">
        <v>116</v>
      </c>
      <c r="K10" s="42" t="s">
        <v>117</v>
      </c>
      <c r="L10" s="42" t="s">
        <v>118</v>
      </c>
      <c r="M10" s="42" t="s">
        <v>120</v>
      </c>
      <c r="N10" s="42" t="s">
        <v>122</v>
      </c>
      <c r="O10" s="114" t="s">
        <v>119</v>
      </c>
    </row>
    <row r="11" spans="1:15" ht="15.75">
      <c r="A11" s="43"/>
      <c r="B11" s="44"/>
      <c r="C11" s="158"/>
      <c r="D11" s="159"/>
      <c r="E11" s="160"/>
      <c r="F11" s="161"/>
      <c r="G11" s="162"/>
      <c r="H11" s="163"/>
      <c r="I11" s="164"/>
      <c r="J11" s="163"/>
      <c r="K11" s="163"/>
      <c r="L11" s="163"/>
      <c r="M11" s="163"/>
      <c r="N11" s="163"/>
      <c r="O11" s="163"/>
    </row>
    <row r="12" spans="1:15" ht="16.5" thickBot="1">
      <c r="A12" s="44">
        <v>2</v>
      </c>
      <c r="B12" s="44">
        <v>1</v>
      </c>
      <c r="C12" s="45"/>
      <c r="D12" s="44"/>
      <c r="E12" s="46"/>
      <c r="F12" s="47" t="s">
        <v>2</v>
      </c>
      <c r="G12" s="48">
        <f>G13+G31+G38+G43-1</f>
        <v>23002832</v>
      </c>
      <c r="H12" s="115">
        <f>H13+H31+H38+H43</f>
        <v>1661145.73</v>
      </c>
      <c r="I12" s="3" t="e">
        <f t="shared" ref="I12:O12" si="0">I13+I31+I38+I43</f>
        <v>#REF!</v>
      </c>
      <c r="J12" s="115">
        <f t="shared" si="0"/>
        <v>1673803.74</v>
      </c>
      <c r="K12" s="115">
        <f t="shared" si="0"/>
        <v>1673803.74</v>
      </c>
      <c r="L12" s="115">
        <f t="shared" si="0"/>
        <v>1667742.0209999999</v>
      </c>
      <c r="M12" s="115">
        <f t="shared" si="0"/>
        <v>1673803.74</v>
      </c>
      <c r="N12" s="115">
        <f t="shared" si="0"/>
        <v>1716335.74</v>
      </c>
      <c r="O12" s="115">
        <f t="shared" si="0"/>
        <v>10066634.710999999</v>
      </c>
    </row>
    <row r="13" spans="1:15" ht="16.5" thickBot="1">
      <c r="A13" s="44">
        <v>2</v>
      </c>
      <c r="B13" s="44">
        <v>1</v>
      </c>
      <c r="C13" s="45">
        <v>1</v>
      </c>
      <c r="D13" s="44"/>
      <c r="E13" s="46"/>
      <c r="F13" s="47" t="s">
        <v>3</v>
      </c>
      <c r="G13" s="49">
        <f>G14+G17+G22+G25</f>
        <v>19031957</v>
      </c>
      <c r="H13" s="49">
        <f>H14+H17+H22+H25</f>
        <v>1454830</v>
      </c>
      <c r="I13" s="4" t="e">
        <f t="shared" ref="I13:O13" si="1">I14+I17+I22+I25</f>
        <v>#REF!</v>
      </c>
      <c r="J13" s="49">
        <f t="shared" si="1"/>
        <v>1464830</v>
      </c>
      <c r="K13" s="49">
        <f t="shared" si="1"/>
        <v>1464830</v>
      </c>
      <c r="L13" s="49">
        <f t="shared" si="1"/>
        <v>1464830</v>
      </c>
      <c r="M13" s="49">
        <f t="shared" si="1"/>
        <v>1464830</v>
      </c>
      <c r="N13" s="49">
        <f t="shared" si="1"/>
        <v>1507362</v>
      </c>
      <c r="O13" s="49">
        <f t="shared" si="1"/>
        <v>8821512</v>
      </c>
    </row>
    <row r="14" spans="1:15" ht="16.5" thickBot="1">
      <c r="A14" s="44">
        <v>2</v>
      </c>
      <c r="B14" s="44">
        <v>1</v>
      </c>
      <c r="C14" s="45">
        <v>1</v>
      </c>
      <c r="D14" s="44">
        <v>1</v>
      </c>
      <c r="E14" s="46"/>
      <c r="F14" s="47" t="s">
        <v>4</v>
      </c>
      <c r="G14" s="50">
        <f>G15</f>
        <v>6300000</v>
      </c>
      <c r="H14" s="51">
        <f>H15</f>
        <v>525000</v>
      </c>
      <c r="I14" s="5" t="e">
        <f t="shared" ref="I14:O14" si="2">I15</f>
        <v>#REF!</v>
      </c>
      <c r="J14" s="51">
        <f t="shared" si="2"/>
        <v>525000</v>
      </c>
      <c r="K14" s="51">
        <f t="shared" si="2"/>
        <v>525000</v>
      </c>
      <c r="L14" s="51">
        <f t="shared" si="2"/>
        <v>525000</v>
      </c>
      <c r="M14" s="51">
        <f t="shared" si="2"/>
        <v>525000</v>
      </c>
      <c r="N14" s="51">
        <f t="shared" si="2"/>
        <v>525000</v>
      </c>
      <c r="O14" s="51">
        <f t="shared" si="2"/>
        <v>3150000</v>
      </c>
    </row>
    <row r="15" spans="1:15" ht="15.75">
      <c r="A15" s="44">
        <v>2</v>
      </c>
      <c r="B15" s="44">
        <v>1</v>
      </c>
      <c r="C15" s="45">
        <v>1</v>
      </c>
      <c r="D15" s="44">
        <v>1</v>
      </c>
      <c r="E15" s="44">
        <v>1</v>
      </c>
      <c r="F15" s="52" t="s">
        <v>5</v>
      </c>
      <c r="G15" s="53">
        <v>6300000</v>
      </c>
      <c r="H15" s="54">
        <f>225000+300000</f>
        <v>525000</v>
      </c>
      <c r="I15" s="6" t="e">
        <f>+G15-#REF!</f>
        <v>#REF!</v>
      </c>
      <c r="J15" s="54">
        <f>225000+300000</f>
        <v>525000</v>
      </c>
      <c r="K15" s="54">
        <f>225000+300000</f>
        <v>525000</v>
      </c>
      <c r="L15" s="54">
        <f>225000+300000</f>
        <v>525000</v>
      </c>
      <c r="M15" s="54">
        <f>225000+300000</f>
        <v>525000</v>
      </c>
      <c r="N15" s="54">
        <f>225000+300000</f>
        <v>525000</v>
      </c>
      <c r="O15" s="54">
        <f>+H15+J15+K15+L15+M15+N15</f>
        <v>3150000</v>
      </c>
    </row>
    <row r="16" spans="1:15" ht="15.75">
      <c r="A16" s="44"/>
      <c r="B16" s="44"/>
      <c r="C16" s="45"/>
      <c r="D16" s="44"/>
      <c r="E16" s="43"/>
      <c r="F16" s="52"/>
      <c r="G16" s="55"/>
      <c r="H16" s="56"/>
      <c r="I16" s="7"/>
      <c r="J16" s="56"/>
      <c r="K16" s="56"/>
      <c r="L16" s="56"/>
      <c r="M16" s="56"/>
      <c r="N16" s="56"/>
      <c r="O16" s="56"/>
    </row>
    <row r="17" spans="1:15" ht="32.25" thickBot="1">
      <c r="A17" s="44">
        <v>2</v>
      </c>
      <c r="B17" s="44">
        <v>1</v>
      </c>
      <c r="C17" s="45">
        <v>1</v>
      </c>
      <c r="D17" s="44">
        <v>2</v>
      </c>
      <c r="E17" s="46"/>
      <c r="F17" s="57" t="s">
        <v>6</v>
      </c>
      <c r="G17" s="48">
        <f>G18</f>
        <v>11267960</v>
      </c>
      <c r="H17" s="58">
        <f t="shared" ref="H17:K17" si="3">SUM(H18:H20)</f>
        <v>929830</v>
      </c>
      <c r="I17" s="8" t="e">
        <f t="shared" ref="I17" si="4">SUM(I18:I20)</f>
        <v>#REF!</v>
      </c>
      <c r="J17" s="58">
        <f t="shared" si="3"/>
        <v>939830</v>
      </c>
      <c r="K17" s="58">
        <f t="shared" si="3"/>
        <v>939830</v>
      </c>
      <c r="L17" s="58">
        <f>SUM(L18:L20)</f>
        <v>939830</v>
      </c>
      <c r="M17" s="58">
        <f>SUM(M18:M20)</f>
        <v>939830</v>
      </c>
      <c r="N17" s="58">
        <f>SUM(N18:N20)</f>
        <v>939830</v>
      </c>
      <c r="O17" s="58">
        <f>SUM(O18:O20)</f>
        <v>5628980</v>
      </c>
    </row>
    <row r="18" spans="1:15" ht="31.5">
      <c r="A18" s="44">
        <v>2</v>
      </c>
      <c r="B18" s="44">
        <v>1</v>
      </c>
      <c r="C18" s="45">
        <v>1</v>
      </c>
      <c r="D18" s="44">
        <v>2</v>
      </c>
      <c r="E18" s="44">
        <v>1</v>
      </c>
      <c r="F18" s="59" t="s">
        <v>7</v>
      </c>
      <c r="G18" s="60">
        <v>11267960</v>
      </c>
      <c r="H18" s="56">
        <f>51400+75378+60885+73500+48920+80500+93500+73500+122117+110065+85065</f>
        <v>874830</v>
      </c>
      <c r="I18" s="7" t="e">
        <f>+G18-#REF!</f>
        <v>#REF!</v>
      </c>
      <c r="J18" s="56">
        <f>51400+75378+60885+73500+48920+80500+93500+73500+122117+110065+85065+65000</f>
        <v>939830</v>
      </c>
      <c r="K18" s="56">
        <f>51400+75378+60885+73500+48920+80500+93500+73500+122117+110065+85065+65000</f>
        <v>939830</v>
      </c>
      <c r="L18" s="56">
        <f>51400+75378+60885+73500+48920+80500+93500+73500+122117+110065+85065+65000</f>
        <v>939830</v>
      </c>
      <c r="M18" s="56">
        <f>51400+75378+60885+73500+48920+80500+93500+73500+122117+110065+85065+65000</f>
        <v>939830</v>
      </c>
      <c r="N18" s="56">
        <f>51400+75378+60885+73500+48920+80500+93500+73500+122117+110065+85065+65000</f>
        <v>939830</v>
      </c>
      <c r="O18" s="56">
        <f>+H18+J18+K18+L18+M18+N18</f>
        <v>5573980</v>
      </c>
    </row>
    <row r="19" spans="1:15" ht="15.75">
      <c r="A19" s="44">
        <v>2</v>
      </c>
      <c r="B19" s="44">
        <v>1</v>
      </c>
      <c r="C19" s="45">
        <v>1</v>
      </c>
      <c r="D19" s="44">
        <v>2</v>
      </c>
      <c r="E19" s="44">
        <v>2</v>
      </c>
      <c r="F19" s="59" t="s">
        <v>8</v>
      </c>
      <c r="G19" s="55"/>
      <c r="H19" s="56"/>
      <c r="I19" s="7"/>
      <c r="J19" s="56"/>
      <c r="K19" s="56"/>
      <c r="L19" s="56"/>
      <c r="M19" s="56"/>
      <c r="N19" s="56"/>
      <c r="O19" s="56">
        <f>+H19+J19+K19+L19+M19</f>
        <v>0</v>
      </c>
    </row>
    <row r="20" spans="1:15" ht="31.5">
      <c r="A20" s="44">
        <v>2</v>
      </c>
      <c r="B20" s="44">
        <v>1</v>
      </c>
      <c r="C20" s="45">
        <v>1</v>
      </c>
      <c r="D20" s="44">
        <v>2</v>
      </c>
      <c r="E20" s="44">
        <v>5</v>
      </c>
      <c r="F20" s="59" t="s">
        <v>9</v>
      </c>
      <c r="G20" s="61"/>
      <c r="H20" s="63">
        <v>55000</v>
      </c>
      <c r="I20" s="10" t="e">
        <f>+G20-#REF!</f>
        <v>#REF!</v>
      </c>
      <c r="J20" s="63"/>
      <c r="K20" s="63"/>
      <c r="L20" s="63"/>
      <c r="M20" s="63"/>
      <c r="N20" s="63"/>
      <c r="O20" s="56">
        <f>+H20+J20+K20+L20+M20+N20</f>
        <v>55000</v>
      </c>
    </row>
    <row r="21" spans="1:15" ht="15.75">
      <c r="A21" s="44"/>
      <c r="B21" s="44"/>
      <c r="C21" s="45"/>
      <c r="D21" s="44"/>
      <c r="E21" s="44"/>
      <c r="F21" s="59"/>
      <c r="G21" s="61"/>
      <c r="H21" s="63" t="s">
        <v>10</v>
      </c>
      <c r="I21" s="10"/>
      <c r="J21" s="63" t="s">
        <v>10</v>
      </c>
      <c r="K21" s="63"/>
      <c r="L21" s="63"/>
      <c r="M21" s="63"/>
      <c r="N21" s="63"/>
      <c r="O21" s="63" t="s">
        <v>10</v>
      </c>
    </row>
    <row r="22" spans="1:15" ht="16.5" thickBot="1">
      <c r="A22" s="44">
        <v>2</v>
      </c>
      <c r="B22" s="44">
        <v>1</v>
      </c>
      <c r="C22" s="45">
        <v>1</v>
      </c>
      <c r="D22" s="44">
        <v>4</v>
      </c>
      <c r="E22" s="46"/>
      <c r="F22" s="57" t="s">
        <v>11</v>
      </c>
      <c r="G22" s="48">
        <f t="shared" ref="G22:O22" si="5">G23</f>
        <v>1463997</v>
      </c>
      <c r="H22" s="49">
        <f t="shared" si="5"/>
        <v>0</v>
      </c>
      <c r="I22" s="4" t="e">
        <f t="shared" si="5"/>
        <v>#REF!</v>
      </c>
      <c r="J22" s="49">
        <f t="shared" si="5"/>
        <v>0</v>
      </c>
      <c r="K22" s="49">
        <f t="shared" si="5"/>
        <v>0</v>
      </c>
      <c r="L22" s="49">
        <f t="shared" si="5"/>
        <v>0</v>
      </c>
      <c r="M22" s="49">
        <f t="shared" si="5"/>
        <v>0</v>
      </c>
      <c r="N22" s="58">
        <f t="shared" si="5"/>
        <v>42532</v>
      </c>
      <c r="O22" s="71">
        <f t="shared" si="5"/>
        <v>42532</v>
      </c>
    </row>
    <row r="23" spans="1:15" ht="15.75">
      <c r="A23" s="44">
        <v>2</v>
      </c>
      <c r="B23" s="44">
        <v>1</v>
      </c>
      <c r="C23" s="45">
        <v>1</v>
      </c>
      <c r="D23" s="44">
        <v>4</v>
      </c>
      <c r="E23" s="44">
        <v>1</v>
      </c>
      <c r="F23" s="59" t="s">
        <v>12</v>
      </c>
      <c r="G23" s="60">
        <v>1463997</v>
      </c>
      <c r="H23" s="62">
        <v>0</v>
      </c>
      <c r="I23" s="11" t="e">
        <f>+G23-#REF!</f>
        <v>#REF!</v>
      </c>
      <c r="J23" s="62">
        <v>0</v>
      </c>
      <c r="K23" s="62"/>
      <c r="L23" s="62"/>
      <c r="M23" s="62"/>
      <c r="N23" s="63">
        <v>42532</v>
      </c>
      <c r="O23" s="56">
        <f>+H23+J23+K23+L23+M23+N23</f>
        <v>42532</v>
      </c>
    </row>
    <row r="24" spans="1:15" ht="15.75">
      <c r="A24" s="44"/>
      <c r="B24" s="44"/>
      <c r="C24" s="45"/>
      <c r="D24" s="44"/>
      <c r="E24" s="44"/>
      <c r="F24" s="59"/>
      <c r="G24" s="61"/>
      <c r="H24" s="63"/>
      <c r="I24" s="10"/>
      <c r="J24" s="63"/>
      <c r="K24" s="63"/>
      <c r="L24" s="63"/>
      <c r="M24" s="63"/>
      <c r="N24" s="63"/>
      <c r="O24" s="63"/>
    </row>
    <row r="25" spans="1:15" ht="16.5" thickBot="1">
      <c r="A25" s="44">
        <v>2</v>
      </c>
      <c r="B25" s="44">
        <v>1</v>
      </c>
      <c r="C25" s="45">
        <v>1</v>
      </c>
      <c r="D25" s="44">
        <v>5</v>
      </c>
      <c r="E25" s="46"/>
      <c r="F25" s="57" t="s">
        <v>13</v>
      </c>
      <c r="G25" s="64">
        <f>G26+G29</f>
        <v>0</v>
      </c>
      <c r="H25" s="58">
        <f t="shared" ref="H25:O25" si="6">H26+H27+H28+H29</f>
        <v>0</v>
      </c>
      <c r="I25" s="8">
        <f t="shared" si="6"/>
        <v>0</v>
      </c>
      <c r="J25" s="58">
        <f t="shared" si="6"/>
        <v>0</v>
      </c>
      <c r="K25" s="58">
        <f t="shared" si="6"/>
        <v>0</v>
      </c>
      <c r="L25" s="58">
        <f t="shared" si="6"/>
        <v>0</v>
      </c>
      <c r="M25" s="58">
        <f t="shared" si="6"/>
        <v>0</v>
      </c>
      <c r="N25" s="58">
        <f t="shared" si="6"/>
        <v>0</v>
      </c>
      <c r="O25" s="58">
        <f t="shared" si="6"/>
        <v>0</v>
      </c>
    </row>
    <row r="26" spans="1:15" ht="15.75">
      <c r="A26" s="44">
        <v>2</v>
      </c>
      <c r="B26" s="44">
        <v>1</v>
      </c>
      <c r="C26" s="45">
        <v>1</v>
      </c>
      <c r="D26" s="44">
        <v>5</v>
      </c>
      <c r="E26" s="44">
        <v>1</v>
      </c>
      <c r="F26" s="59" t="s">
        <v>13</v>
      </c>
      <c r="G26" s="61"/>
      <c r="H26" s="63">
        <v>0</v>
      </c>
      <c r="I26" s="10">
        <v>0</v>
      </c>
      <c r="J26" s="63">
        <v>0</v>
      </c>
      <c r="K26" s="63"/>
      <c r="L26" s="63"/>
      <c r="M26" s="63"/>
      <c r="N26" s="63"/>
      <c r="O26" s="56">
        <f>+H26+J26+K26+L26+M26+N26</f>
        <v>0</v>
      </c>
    </row>
    <row r="27" spans="1:15" ht="31.5">
      <c r="A27" s="44">
        <v>2</v>
      </c>
      <c r="B27" s="44">
        <v>1</v>
      </c>
      <c r="C27" s="45">
        <v>1</v>
      </c>
      <c r="D27" s="44">
        <v>5</v>
      </c>
      <c r="E27" s="44">
        <v>2</v>
      </c>
      <c r="F27" s="59" t="s">
        <v>14</v>
      </c>
      <c r="G27" s="61"/>
      <c r="H27" s="63">
        <v>0</v>
      </c>
      <c r="I27" s="10">
        <v>0</v>
      </c>
      <c r="J27" s="63">
        <v>0</v>
      </c>
      <c r="K27" s="63"/>
      <c r="L27" s="63"/>
      <c r="M27" s="63"/>
      <c r="N27" s="63"/>
      <c r="O27" s="56">
        <f>+H27+J27+K27+L27+M27+N27</f>
        <v>0</v>
      </c>
    </row>
    <row r="28" spans="1:15" ht="31.5">
      <c r="A28" s="44">
        <v>2</v>
      </c>
      <c r="B28" s="44">
        <v>1</v>
      </c>
      <c r="C28" s="45">
        <v>1</v>
      </c>
      <c r="D28" s="44">
        <v>5</v>
      </c>
      <c r="E28" s="44">
        <v>3</v>
      </c>
      <c r="F28" s="59" t="s">
        <v>15</v>
      </c>
      <c r="G28" s="61"/>
      <c r="H28" s="63">
        <v>0</v>
      </c>
      <c r="I28" s="10">
        <v>0</v>
      </c>
      <c r="J28" s="63">
        <v>0</v>
      </c>
      <c r="K28" s="63"/>
      <c r="L28" s="63"/>
      <c r="M28" s="63"/>
      <c r="N28" s="63"/>
      <c r="O28" s="56">
        <f>+H28+J28+K28+L28+M28+N28</f>
        <v>0</v>
      </c>
    </row>
    <row r="29" spans="1:15" ht="31.5">
      <c r="A29" s="44">
        <v>2</v>
      </c>
      <c r="B29" s="44">
        <v>1</v>
      </c>
      <c r="C29" s="45">
        <v>1</v>
      </c>
      <c r="D29" s="44">
        <v>5</v>
      </c>
      <c r="E29" s="44">
        <v>4</v>
      </c>
      <c r="F29" s="59" t="s">
        <v>16</v>
      </c>
      <c r="G29" s="61"/>
      <c r="H29" s="63"/>
      <c r="I29" s="10"/>
      <c r="J29" s="63"/>
      <c r="K29" s="63"/>
      <c r="L29" s="63"/>
      <c r="M29" s="63"/>
      <c r="N29" s="63"/>
      <c r="O29" s="63"/>
    </row>
    <row r="30" spans="1:15" ht="16.5" thickBot="1">
      <c r="A30" s="44"/>
      <c r="B30" s="44"/>
      <c r="C30" s="45"/>
      <c r="D30" s="44"/>
      <c r="E30" s="44"/>
      <c r="F30" s="59"/>
      <c r="G30" s="61"/>
      <c r="H30" s="63"/>
      <c r="I30" s="10"/>
      <c r="J30" s="63"/>
      <c r="K30" s="63"/>
      <c r="L30" s="63"/>
      <c r="M30" s="63"/>
      <c r="N30" s="63"/>
      <c r="O30" s="63"/>
    </row>
    <row r="31" spans="1:15" ht="16.5" thickBot="1">
      <c r="A31" s="44">
        <v>2</v>
      </c>
      <c r="B31" s="44">
        <v>1</v>
      </c>
      <c r="C31" s="45">
        <v>2</v>
      </c>
      <c r="D31" s="44"/>
      <c r="E31" s="44"/>
      <c r="F31" s="57" t="s">
        <v>17</v>
      </c>
      <c r="G31" s="65">
        <f t="shared" ref="G31:O31" si="7">G32</f>
        <v>1463997</v>
      </c>
      <c r="H31" s="66">
        <f t="shared" si="7"/>
        <v>0</v>
      </c>
      <c r="I31" s="12" t="e">
        <f t="shared" si="7"/>
        <v>#REF!</v>
      </c>
      <c r="J31" s="66">
        <f t="shared" si="7"/>
        <v>0</v>
      </c>
      <c r="K31" s="66">
        <f t="shared" si="7"/>
        <v>0</v>
      </c>
      <c r="L31" s="66">
        <f t="shared" si="7"/>
        <v>0</v>
      </c>
      <c r="M31" s="66">
        <f>M32</f>
        <v>0</v>
      </c>
      <c r="N31" s="66">
        <f t="shared" si="7"/>
        <v>0</v>
      </c>
      <c r="O31" s="66">
        <f t="shared" si="7"/>
        <v>0</v>
      </c>
    </row>
    <row r="32" spans="1:15" ht="16.5" thickBot="1">
      <c r="A32" s="44">
        <v>2</v>
      </c>
      <c r="B32" s="44">
        <v>1</v>
      </c>
      <c r="C32" s="44">
        <v>2</v>
      </c>
      <c r="D32" s="44">
        <v>2</v>
      </c>
      <c r="E32" s="44"/>
      <c r="F32" s="57" t="s">
        <v>18</v>
      </c>
      <c r="G32" s="48">
        <f>G33+G34+G35</f>
        <v>1463997</v>
      </c>
      <c r="H32" s="66">
        <f t="shared" ref="H32:O32" si="8">H35</f>
        <v>0</v>
      </c>
      <c r="I32" s="13" t="e">
        <f t="shared" si="8"/>
        <v>#REF!</v>
      </c>
      <c r="J32" s="66">
        <f t="shared" si="8"/>
        <v>0</v>
      </c>
      <c r="K32" s="66">
        <f t="shared" si="8"/>
        <v>0</v>
      </c>
      <c r="L32" s="66">
        <f t="shared" si="8"/>
        <v>0</v>
      </c>
      <c r="M32" s="66">
        <f>M35</f>
        <v>0</v>
      </c>
      <c r="N32" s="66">
        <f>N35</f>
        <v>0</v>
      </c>
      <c r="O32" s="66">
        <f t="shared" si="8"/>
        <v>0</v>
      </c>
    </row>
    <row r="33" spans="1:16" ht="31.5">
      <c r="A33" s="44">
        <v>2</v>
      </c>
      <c r="B33" s="44">
        <v>1</v>
      </c>
      <c r="C33" s="44">
        <v>2</v>
      </c>
      <c r="D33" s="44">
        <v>2</v>
      </c>
      <c r="E33" s="44">
        <v>2</v>
      </c>
      <c r="F33" s="57" t="s">
        <v>19</v>
      </c>
      <c r="G33" s="67"/>
      <c r="H33" s="49">
        <v>0</v>
      </c>
      <c r="I33" s="4">
        <v>0</v>
      </c>
      <c r="J33" s="49">
        <v>0</v>
      </c>
      <c r="K33" s="49">
        <v>0</v>
      </c>
      <c r="L33" s="49"/>
      <c r="M33" s="49"/>
      <c r="N33" s="49"/>
      <c r="O33" s="56">
        <f>+H33+J33+K33+L33+M33+N33</f>
        <v>0</v>
      </c>
    </row>
    <row r="34" spans="1:16" ht="15.75">
      <c r="A34" s="44">
        <v>2</v>
      </c>
      <c r="B34" s="44">
        <v>1</v>
      </c>
      <c r="C34" s="44">
        <v>2</v>
      </c>
      <c r="D34" s="44">
        <v>2</v>
      </c>
      <c r="E34" s="44">
        <v>4</v>
      </c>
      <c r="F34" s="59" t="s">
        <v>20</v>
      </c>
      <c r="G34" s="61">
        <v>0</v>
      </c>
      <c r="H34" s="63">
        <v>0</v>
      </c>
      <c r="I34" s="63">
        <v>0</v>
      </c>
      <c r="J34" s="63">
        <v>0</v>
      </c>
      <c r="K34" s="63">
        <v>0</v>
      </c>
      <c r="L34" s="63"/>
      <c r="M34" s="63"/>
      <c r="N34" s="63"/>
      <c r="O34" s="56">
        <f>+H34+J34+K34+L34+M34+N34</f>
        <v>0</v>
      </c>
    </row>
    <row r="35" spans="1:16" ht="15.75">
      <c r="A35" s="44">
        <v>2</v>
      </c>
      <c r="B35" s="44">
        <v>1</v>
      </c>
      <c r="C35" s="44">
        <v>2</v>
      </c>
      <c r="D35" s="44">
        <v>2</v>
      </c>
      <c r="E35" s="44">
        <v>15</v>
      </c>
      <c r="F35" s="59" t="s">
        <v>21</v>
      </c>
      <c r="G35" s="61">
        <v>1463997</v>
      </c>
      <c r="H35" s="63"/>
      <c r="I35" s="10" t="e">
        <f>+G35-#REF!</f>
        <v>#REF!</v>
      </c>
      <c r="J35" s="63"/>
      <c r="K35" s="63"/>
      <c r="L35" s="63"/>
      <c r="M35" s="63"/>
      <c r="N35" s="63"/>
      <c r="O35" s="56">
        <f>+H35+J35+K35+L35+M35+N35</f>
        <v>0</v>
      </c>
    </row>
    <row r="36" spans="1:16" ht="15.75">
      <c r="A36" s="44"/>
      <c r="B36" s="44"/>
      <c r="C36" s="45"/>
      <c r="D36" s="44"/>
      <c r="E36" s="44"/>
      <c r="F36" s="59"/>
      <c r="G36" s="61"/>
      <c r="H36" s="63"/>
      <c r="I36" s="10"/>
      <c r="J36" s="63"/>
      <c r="K36" s="63"/>
      <c r="L36" s="63"/>
      <c r="M36" s="63"/>
      <c r="N36" s="63"/>
      <c r="O36" s="63"/>
    </row>
    <row r="37" spans="1:16" ht="15.75">
      <c r="A37" s="44"/>
      <c r="B37" s="44"/>
      <c r="C37" s="45"/>
      <c r="D37" s="44"/>
      <c r="E37" s="44"/>
      <c r="F37" s="59"/>
      <c r="G37" s="61"/>
      <c r="H37" s="63"/>
      <c r="I37" s="10"/>
      <c r="J37" s="63"/>
      <c r="K37" s="63"/>
      <c r="L37" s="63"/>
      <c r="M37" s="63"/>
      <c r="N37" s="63"/>
      <c r="O37" s="63"/>
    </row>
    <row r="38" spans="1:16" ht="32.25" thickBot="1">
      <c r="A38" s="44">
        <v>2</v>
      </c>
      <c r="B38" s="44">
        <v>1</v>
      </c>
      <c r="C38" s="45">
        <v>3</v>
      </c>
      <c r="D38" s="44"/>
      <c r="E38" s="44"/>
      <c r="F38" s="57" t="s">
        <v>22</v>
      </c>
      <c r="G38" s="61"/>
      <c r="H38" s="63"/>
      <c r="I38" s="10"/>
      <c r="J38" s="63"/>
      <c r="K38" s="63"/>
      <c r="L38" s="63"/>
      <c r="M38" s="63"/>
      <c r="N38" s="63"/>
      <c r="O38" s="63"/>
    </row>
    <row r="39" spans="1:16" ht="16.5" thickBot="1">
      <c r="A39" s="44">
        <v>2</v>
      </c>
      <c r="B39" s="44">
        <v>1</v>
      </c>
      <c r="C39" s="45">
        <v>3</v>
      </c>
      <c r="D39" s="44">
        <v>1</v>
      </c>
      <c r="E39" s="46"/>
      <c r="F39" s="57" t="s">
        <v>23</v>
      </c>
      <c r="G39" s="50">
        <f t="shared" ref="G39:O39" si="9">G40+G41</f>
        <v>0</v>
      </c>
      <c r="H39" s="51">
        <f t="shared" si="9"/>
        <v>0</v>
      </c>
      <c r="I39" s="14">
        <f t="shared" si="9"/>
        <v>0</v>
      </c>
      <c r="J39" s="51">
        <f t="shared" si="9"/>
        <v>0</v>
      </c>
      <c r="K39" s="51">
        <f t="shared" si="9"/>
        <v>0</v>
      </c>
      <c r="L39" s="51">
        <f t="shared" si="9"/>
        <v>0</v>
      </c>
      <c r="M39" s="51">
        <f t="shared" si="9"/>
        <v>0</v>
      </c>
      <c r="N39" s="51">
        <f t="shared" si="9"/>
        <v>0</v>
      </c>
      <c r="O39" s="51">
        <f t="shared" si="9"/>
        <v>0</v>
      </c>
    </row>
    <row r="40" spans="1:16" ht="15.75">
      <c r="A40" s="44">
        <v>2</v>
      </c>
      <c r="B40" s="44">
        <v>1</v>
      </c>
      <c r="C40" s="45">
        <v>3</v>
      </c>
      <c r="D40" s="44">
        <v>1</v>
      </c>
      <c r="E40" s="44">
        <v>1</v>
      </c>
      <c r="F40" s="59" t="s">
        <v>24</v>
      </c>
      <c r="G40" s="60"/>
      <c r="H40" s="63">
        <f>G40*12</f>
        <v>0</v>
      </c>
      <c r="I40" s="63">
        <f t="shared" ref="I40:J41" si="10">H40*12</f>
        <v>0</v>
      </c>
      <c r="J40" s="63">
        <f t="shared" si="10"/>
        <v>0</v>
      </c>
      <c r="K40" s="63">
        <f>J40*12</f>
        <v>0</v>
      </c>
      <c r="L40" s="63"/>
      <c r="M40" s="63"/>
      <c r="N40" s="63"/>
      <c r="O40" s="123">
        <f>+H40+J40+K40+L40+M40+N40</f>
        <v>0</v>
      </c>
    </row>
    <row r="41" spans="1:16" ht="15.75">
      <c r="A41" s="44">
        <v>2</v>
      </c>
      <c r="B41" s="44">
        <v>1</v>
      </c>
      <c r="C41" s="45">
        <v>3</v>
      </c>
      <c r="D41" s="44">
        <v>1</v>
      </c>
      <c r="E41" s="44">
        <v>2</v>
      </c>
      <c r="F41" s="59" t="s">
        <v>25</v>
      </c>
      <c r="G41" s="61"/>
      <c r="H41" s="63">
        <f>G41*12</f>
        <v>0</v>
      </c>
      <c r="I41" s="63">
        <f t="shared" si="10"/>
        <v>0</v>
      </c>
      <c r="J41" s="63">
        <f t="shared" si="10"/>
        <v>0</v>
      </c>
      <c r="K41" s="63">
        <f>J41*12</f>
        <v>0</v>
      </c>
      <c r="L41" s="63"/>
      <c r="M41" s="63"/>
      <c r="N41" s="63"/>
      <c r="O41" s="56">
        <f>+H41+J41+K41+L41+M41+N41</f>
        <v>0</v>
      </c>
    </row>
    <row r="42" spans="1:16" s="15" customFormat="1" ht="15.75">
      <c r="A42" s="44"/>
      <c r="B42" s="44"/>
      <c r="C42" s="45"/>
      <c r="D42" s="44"/>
      <c r="E42" s="44"/>
      <c r="F42" s="59"/>
      <c r="G42" s="61"/>
      <c r="H42" s="63"/>
      <c r="I42" s="10"/>
      <c r="J42" s="63"/>
      <c r="K42" s="63"/>
      <c r="L42" s="63"/>
      <c r="M42" s="63"/>
      <c r="N42" s="63"/>
      <c r="O42" s="63"/>
    </row>
    <row r="43" spans="1:16" ht="32.25" thickBot="1">
      <c r="A43" s="44">
        <v>2</v>
      </c>
      <c r="B43" s="68">
        <v>1</v>
      </c>
      <c r="C43" s="69">
        <v>5</v>
      </c>
      <c r="D43" s="46"/>
      <c r="E43" s="46"/>
      <c r="F43" s="57" t="s">
        <v>26</v>
      </c>
      <c r="G43" s="48">
        <f t="shared" ref="G43:H43" si="11">SUM(G44:G46)</f>
        <v>2506879</v>
      </c>
      <c r="H43" s="49">
        <f t="shared" si="11"/>
        <v>206315.72999999998</v>
      </c>
      <c r="I43" s="4" t="e">
        <f t="shared" ref="I43:K43" si="12">SUM(I44:I46)</f>
        <v>#REF!</v>
      </c>
      <c r="J43" s="49">
        <f t="shared" si="12"/>
        <v>208973.74</v>
      </c>
      <c r="K43" s="49">
        <f t="shared" si="12"/>
        <v>208973.74</v>
      </c>
      <c r="L43" s="49">
        <f>SUM(L44:L46)</f>
        <v>202912.02100000001</v>
      </c>
      <c r="M43" s="49">
        <f>SUM(M44:M46)</f>
        <v>208973.74</v>
      </c>
      <c r="N43" s="58">
        <f>SUM(N44:N46)</f>
        <v>208973.74</v>
      </c>
      <c r="O43" s="71">
        <f>SUM(O44:O46)</f>
        <v>1245122.7110000001</v>
      </c>
    </row>
    <row r="44" spans="1:16" ht="31.5">
      <c r="A44" s="44">
        <v>2</v>
      </c>
      <c r="B44" s="44">
        <v>1</v>
      </c>
      <c r="C44" s="45">
        <v>5</v>
      </c>
      <c r="D44" s="44">
        <v>1</v>
      </c>
      <c r="E44" s="44"/>
      <c r="F44" s="52" t="s">
        <v>27</v>
      </c>
      <c r="G44" s="60">
        <v>1128795</v>
      </c>
      <c r="H44" s="62">
        <v>92444.4</v>
      </c>
      <c r="I44" s="11" t="e">
        <f>+G44-#REF!</f>
        <v>#REF!</v>
      </c>
      <c r="J44" s="62">
        <v>94075.8</v>
      </c>
      <c r="K44" s="62">
        <v>94075.8</v>
      </c>
      <c r="L44" s="62">
        <f>94075.801-6061.72</f>
        <v>88014.081000000006</v>
      </c>
      <c r="M44" s="62">
        <v>94075.8</v>
      </c>
      <c r="N44" s="63">
        <v>94075.8</v>
      </c>
      <c r="O44" s="56">
        <f>+H44+J44+K44+L44+M44+N44</f>
        <v>556761.68099999998</v>
      </c>
    </row>
    <row r="45" spans="1:16" ht="31.5">
      <c r="A45" s="44">
        <v>2</v>
      </c>
      <c r="B45" s="44">
        <v>1</v>
      </c>
      <c r="C45" s="45">
        <v>5</v>
      </c>
      <c r="D45" s="44">
        <v>2</v>
      </c>
      <c r="E45" s="44"/>
      <c r="F45" s="52" t="s">
        <v>28</v>
      </c>
      <c r="G45" s="61">
        <v>1247325</v>
      </c>
      <c r="H45" s="63">
        <v>103292.95</v>
      </c>
      <c r="I45" s="10" t="e">
        <f>+G45-#REF!</f>
        <v>#REF!</v>
      </c>
      <c r="J45" s="63">
        <v>104002.95</v>
      </c>
      <c r="K45" s="63">
        <v>104002.95</v>
      </c>
      <c r="L45" s="63">
        <v>104002.95</v>
      </c>
      <c r="M45" s="63">
        <v>104002.95</v>
      </c>
      <c r="N45" s="63">
        <v>104002.95</v>
      </c>
      <c r="O45" s="56">
        <f>+H45+J45+K45+L45+M45+N45</f>
        <v>623307.69999999995</v>
      </c>
    </row>
    <row r="46" spans="1:16" ht="15.75">
      <c r="A46" s="44">
        <v>2</v>
      </c>
      <c r="B46" s="44">
        <v>1</v>
      </c>
      <c r="C46" s="45">
        <v>5</v>
      </c>
      <c r="D46" s="44">
        <v>3</v>
      </c>
      <c r="E46" s="44"/>
      <c r="F46" s="59" t="s">
        <v>29</v>
      </c>
      <c r="G46" s="61">
        <v>130759</v>
      </c>
      <c r="H46" s="63">
        <v>10578.38</v>
      </c>
      <c r="I46" s="10" t="e">
        <f>+G46-#REF!</f>
        <v>#REF!</v>
      </c>
      <c r="J46" s="63">
        <v>10894.99</v>
      </c>
      <c r="K46" s="63">
        <v>10894.99</v>
      </c>
      <c r="L46" s="63">
        <v>10894.99</v>
      </c>
      <c r="M46" s="63">
        <v>10894.99</v>
      </c>
      <c r="N46" s="63">
        <v>10894.99</v>
      </c>
      <c r="O46" s="56">
        <f>+H46+J46+K46+L46+M46+N46</f>
        <v>65053.329999999994</v>
      </c>
      <c r="P46" s="165"/>
    </row>
    <row r="47" spans="1:16" ht="15.75">
      <c r="A47" s="44"/>
      <c r="B47" s="44"/>
      <c r="C47" s="45"/>
      <c r="D47" s="44"/>
      <c r="E47" s="44"/>
      <c r="F47" s="59"/>
      <c r="G47" s="61"/>
      <c r="H47" s="63"/>
      <c r="I47" s="10"/>
      <c r="J47" s="63"/>
      <c r="K47" s="63"/>
      <c r="L47" s="63"/>
      <c r="M47" s="63"/>
      <c r="N47" s="63"/>
      <c r="O47" s="63"/>
    </row>
    <row r="48" spans="1:16" ht="16.5" thickBot="1">
      <c r="A48" s="44">
        <v>2</v>
      </c>
      <c r="B48" s="44">
        <v>2</v>
      </c>
      <c r="C48" s="45"/>
      <c r="D48" s="44"/>
      <c r="E48" s="46"/>
      <c r="F48" s="47" t="s">
        <v>30</v>
      </c>
      <c r="G48" s="48">
        <f t="shared" ref="G48:K48" si="13">G49+G57+G61+G65+G69+G83+G91+G78+G106</f>
        <v>18307031</v>
      </c>
      <c r="H48" s="58">
        <f t="shared" si="13"/>
        <v>1340446.24</v>
      </c>
      <c r="I48" s="8" t="e">
        <f t="shared" si="13"/>
        <v>#REF!</v>
      </c>
      <c r="J48" s="58">
        <f t="shared" si="13"/>
        <v>1520971.4000000001</v>
      </c>
      <c r="K48" s="58">
        <f t="shared" si="13"/>
        <v>1562030.84</v>
      </c>
      <c r="L48" s="58">
        <f>L49+L57+L61+L65+L69+L83+L91+L78+L106</f>
        <v>2163287.7000000002</v>
      </c>
      <c r="M48" s="58">
        <f>M49+M57+M61+M65+M69+M83+M91+M78+M106</f>
        <v>1933250.05</v>
      </c>
      <c r="N48" s="58">
        <f>N49+N57+N61+N65+N69+N83+N91+N78+N106</f>
        <v>1878724.8000000003</v>
      </c>
      <c r="O48" s="58">
        <f>O49+O57+O61+O65+O69+O83+O91+O78+O106</f>
        <v>10398711.029999999</v>
      </c>
      <c r="P48" s="9"/>
    </row>
    <row r="49" spans="1:17" ht="16.5" thickBot="1">
      <c r="A49" s="44">
        <v>2</v>
      </c>
      <c r="B49" s="44">
        <v>2</v>
      </c>
      <c r="C49" s="45">
        <v>1</v>
      </c>
      <c r="D49" s="44"/>
      <c r="E49" s="46"/>
      <c r="F49" s="47" t="s">
        <v>31</v>
      </c>
      <c r="G49" s="65">
        <f t="shared" ref="G49:J49" si="14">G50+G51+G52+G54</f>
        <v>1401915</v>
      </c>
      <c r="H49" s="49">
        <f t="shared" si="14"/>
        <v>122900.01999999999</v>
      </c>
      <c r="I49" s="4" t="e">
        <f t="shared" si="14"/>
        <v>#REF!</v>
      </c>
      <c r="J49" s="49">
        <f t="shared" si="14"/>
        <v>121985.62</v>
      </c>
      <c r="K49" s="49">
        <f>K50+K51+K52+K54</f>
        <v>120045.4</v>
      </c>
      <c r="L49" s="49">
        <f>L50+L51+L52+L54</f>
        <v>164988.94</v>
      </c>
      <c r="M49" s="49">
        <f>M50+M51+M52+M54</f>
        <v>121623.14</v>
      </c>
      <c r="N49" s="66">
        <f>N50+N51+N52+N54</f>
        <v>137949.64000000001</v>
      </c>
      <c r="O49" s="66">
        <f>O50+O51+O52+O54</f>
        <v>789492.76</v>
      </c>
    </row>
    <row r="50" spans="1:17" ht="15.75">
      <c r="A50" s="44">
        <v>2</v>
      </c>
      <c r="B50" s="44">
        <v>2</v>
      </c>
      <c r="C50" s="45">
        <v>1</v>
      </c>
      <c r="D50" s="44">
        <v>3</v>
      </c>
      <c r="E50" s="44"/>
      <c r="F50" s="52" t="s">
        <v>32</v>
      </c>
      <c r="G50" s="60">
        <v>336000</v>
      </c>
      <c r="H50" s="62">
        <f>47963.82+22207.42+2155</f>
        <v>72326.239999999991</v>
      </c>
      <c r="I50" s="11" t="e">
        <f>+G50-#REF!</f>
        <v>#REF!</v>
      </c>
      <c r="J50" s="62">
        <f>8785.14+2212.21+22518.17+31889</f>
        <v>65404.52</v>
      </c>
      <c r="K50" s="62">
        <f>31889+22264.93+2041</f>
        <v>56194.93</v>
      </c>
      <c r="L50" s="62">
        <f>22125.78+42779+2041</f>
        <v>66945.78</v>
      </c>
      <c r="M50" s="62">
        <f>31893.55+22075.97+2041</f>
        <v>56010.520000000004</v>
      </c>
      <c r="N50" s="63">
        <f>21949.11+31889+2041+18886.02</f>
        <v>74765.13</v>
      </c>
      <c r="O50" s="56">
        <f>+H50+J50+K50+L50+M50+N50</f>
        <v>391647.12</v>
      </c>
      <c r="P50" s="165"/>
      <c r="Q50" s="165"/>
    </row>
    <row r="51" spans="1:17" ht="15.75">
      <c r="A51" s="44">
        <v>2</v>
      </c>
      <c r="B51" s="44">
        <v>2</v>
      </c>
      <c r="C51" s="45">
        <v>1</v>
      </c>
      <c r="D51" s="44">
        <v>4</v>
      </c>
      <c r="E51" s="44"/>
      <c r="F51" s="52" t="s">
        <v>33</v>
      </c>
      <c r="G51" s="61">
        <v>47822</v>
      </c>
      <c r="H51" s="63"/>
      <c r="I51" s="10"/>
      <c r="J51" s="63"/>
      <c r="K51" s="63"/>
      <c r="L51" s="63"/>
      <c r="M51" s="63"/>
      <c r="N51" s="63"/>
      <c r="O51" s="56">
        <f>+H51+J51+K51+L51+M51+N51</f>
        <v>0</v>
      </c>
    </row>
    <row r="52" spans="1:17" ht="31.5">
      <c r="A52" s="44">
        <v>2</v>
      </c>
      <c r="B52" s="44">
        <v>2</v>
      </c>
      <c r="C52" s="45">
        <v>1</v>
      </c>
      <c r="D52" s="44">
        <v>5</v>
      </c>
      <c r="E52" s="44"/>
      <c r="F52" s="52" t="s">
        <v>34</v>
      </c>
      <c r="G52" s="61">
        <v>346093</v>
      </c>
      <c r="H52" s="63"/>
      <c r="I52" s="10" t="e">
        <f>+G52-#REF!</f>
        <v>#REF!</v>
      </c>
      <c r="J52" s="63"/>
      <c r="K52" s="63">
        <v>9289.85</v>
      </c>
      <c r="L52" s="63">
        <v>40068.33</v>
      </c>
      <c r="M52" s="63"/>
      <c r="N52" s="63"/>
      <c r="O52" s="56">
        <f>+H52+J52+K52+L52+M52+N52</f>
        <v>49358.18</v>
      </c>
      <c r="P52" s="165"/>
    </row>
    <row r="53" spans="1:17" ht="15.75">
      <c r="A53" s="44"/>
      <c r="B53" s="44"/>
      <c r="C53" s="45"/>
      <c r="D53" s="44"/>
      <c r="E53" s="44"/>
      <c r="F53" s="52"/>
      <c r="G53" s="61"/>
      <c r="H53" s="63"/>
      <c r="I53" s="10"/>
      <c r="J53" s="63"/>
      <c r="K53" s="63"/>
      <c r="L53" s="63"/>
      <c r="M53" s="63"/>
      <c r="N53" s="63"/>
      <c r="O53" s="63"/>
    </row>
    <row r="54" spans="1:17" ht="16.5" thickBot="1">
      <c r="A54" s="44">
        <v>2</v>
      </c>
      <c r="B54" s="44">
        <v>2</v>
      </c>
      <c r="C54" s="45">
        <v>1</v>
      </c>
      <c r="D54" s="44">
        <v>6</v>
      </c>
      <c r="E54" s="44"/>
      <c r="F54" s="57" t="s">
        <v>35</v>
      </c>
      <c r="G54" s="48">
        <f t="shared" ref="G54:L54" si="15">G55</f>
        <v>672000</v>
      </c>
      <c r="H54" s="70">
        <f t="shared" si="15"/>
        <v>50573.78</v>
      </c>
      <c r="I54" s="16" t="e">
        <f t="shared" si="15"/>
        <v>#REF!</v>
      </c>
      <c r="J54" s="70">
        <f t="shared" si="15"/>
        <v>56581.1</v>
      </c>
      <c r="K54" s="70">
        <f t="shared" si="15"/>
        <v>54560.62</v>
      </c>
      <c r="L54" s="70">
        <f t="shared" si="15"/>
        <v>57974.83</v>
      </c>
      <c r="M54" s="70">
        <f>M55</f>
        <v>65612.62</v>
      </c>
      <c r="N54" s="70">
        <f>N55</f>
        <v>63184.51</v>
      </c>
      <c r="O54" s="70">
        <f>O55</f>
        <v>348487.46</v>
      </c>
    </row>
    <row r="55" spans="1:17" ht="15.75">
      <c r="A55" s="44">
        <v>2</v>
      </c>
      <c r="B55" s="44">
        <v>2</v>
      </c>
      <c r="C55" s="45">
        <v>1</v>
      </c>
      <c r="D55" s="44">
        <v>6</v>
      </c>
      <c r="E55" s="44">
        <v>1</v>
      </c>
      <c r="F55" s="52" t="s">
        <v>36</v>
      </c>
      <c r="G55" s="60">
        <v>672000</v>
      </c>
      <c r="H55" s="63">
        <v>50573.78</v>
      </c>
      <c r="I55" s="11" t="e">
        <f>+G55-#REF!</f>
        <v>#REF!</v>
      </c>
      <c r="J55" s="63">
        <v>56581.1</v>
      </c>
      <c r="K55" s="63">
        <v>54560.62</v>
      </c>
      <c r="L55" s="63">
        <v>57974.83</v>
      </c>
      <c r="M55" s="63">
        <v>65612.62</v>
      </c>
      <c r="N55" s="62">
        <v>63184.51</v>
      </c>
      <c r="O55" s="123">
        <f>+H55+J55+K55+L55+M55+N55</f>
        <v>348487.46</v>
      </c>
    </row>
    <row r="56" spans="1:17" ht="15.75">
      <c r="A56" s="44"/>
      <c r="B56" s="44"/>
      <c r="C56" s="45"/>
      <c r="D56" s="44"/>
      <c r="E56" s="44"/>
      <c r="F56" s="52"/>
      <c r="G56" s="61"/>
      <c r="H56" s="63"/>
      <c r="I56" s="10"/>
      <c r="J56" s="63"/>
      <c r="K56" s="63"/>
      <c r="L56" s="63"/>
      <c r="M56" s="63"/>
      <c r="N56" s="63"/>
      <c r="O56" s="63"/>
    </row>
    <row r="57" spans="1:17" ht="32.25" thickBot="1">
      <c r="A57" s="44">
        <v>2</v>
      </c>
      <c r="B57" s="44">
        <v>2</v>
      </c>
      <c r="C57" s="45">
        <v>2</v>
      </c>
      <c r="D57" s="44"/>
      <c r="E57" s="44"/>
      <c r="F57" s="57" t="s">
        <v>37</v>
      </c>
      <c r="G57" s="48">
        <f>SUM(G58:G59)</f>
        <v>175500</v>
      </c>
      <c r="H57" s="49">
        <f t="shared" ref="H57:K57" si="16">H58+H59</f>
        <v>0</v>
      </c>
      <c r="I57" s="17" t="e">
        <f t="shared" si="16"/>
        <v>#REF!</v>
      </c>
      <c r="J57" s="49">
        <f t="shared" si="16"/>
        <v>3325</v>
      </c>
      <c r="K57" s="49">
        <f t="shared" si="16"/>
        <v>7450</v>
      </c>
      <c r="L57" s="49">
        <f>L58+L59</f>
        <v>4760</v>
      </c>
      <c r="M57" s="49">
        <f>M58+M59</f>
        <v>0</v>
      </c>
      <c r="N57" s="58">
        <f>N58+N59</f>
        <v>165100</v>
      </c>
      <c r="O57" s="58">
        <f>O58+O59</f>
        <v>180635</v>
      </c>
    </row>
    <row r="58" spans="1:17" ht="15.75">
      <c r="A58" s="44">
        <v>2</v>
      </c>
      <c r="B58" s="44">
        <v>2</v>
      </c>
      <c r="C58" s="45">
        <v>2</v>
      </c>
      <c r="D58" s="44">
        <v>1</v>
      </c>
      <c r="E58" s="44"/>
      <c r="F58" s="59" t="s">
        <v>38</v>
      </c>
      <c r="G58" s="60">
        <v>175500</v>
      </c>
      <c r="H58" s="62"/>
      <c r="I58" s="10" t="e">
        <f>+G58-#REF!</f>
        <v>#REF!</v>
      </c>
      <c r="J58" s="62">
        <v>3100</v>
      </c>
      <c r="K58" s="62">
        <v>3450</v>
      </c>
      <c r="L58" s="62">
        <v>0</v>
      </c>
      <c r="M58" s="62"/>
      <c r="N58" s="63">
        <v>165000</v>
      </c>
      <c r="O58" s="56">
        <f>+H58+J58+K58+L58+M58+N58</f>
        <v>171550</v>
      </c>
    </row>
    <row r="59" spans="1:17" ht="15.75">
      <c r="A59" s="44">
        <v>2</v>
      </c>
      <c r="B59" s="44">
        <v>2</v>
      </c>
      <c r="C59" s="45">
        <v>2</v>
      </c>
      <c r="D59" s="44">
        <v>2</v>
      </c>
      <c r="E59" s="44"/>
      <c r="F59" s="59" t="s">
        <v>39</v>
      </c>
      <c r="G59" s="61"/>
      <c r="H59" s="63"/>
      <c r="I59" s="10" t="e">
        <f>+G59-#REF!</f>
        <v>#REF!</v>
      </c>
      <c r="J59" s="63">
        <v>225</v>
      </c>
      <c r="K59" s="63">
        <v>4000</v>
      </c>
      <c r="L59" s="63">
        <v>4760</v>
      </c>
      <c r="M59" s="63"/>
      <c r="N59" s="63">
        <v>100</v>
      </c>
      <c r="O59" s="56">
        <f>+H59+J59+K59+L59+M59+N59</f>
        <v>9085</v>
      </c>
    </row>
    <row r="60" spans="1:17" ht="15.75">
      <c r="A60" s="44"/>
      <c r="B60" s="44"/>
      <c r="C60" s="45"/>
      <c r="D60" s="44"/>
      <c r="E60" s="44"/>
      <c r="F60" s="52"/>
      <c r="G60" s="61"/>
      <c r="H60" s="63"/>
      <c r="I60" s="10"/>
      <c r="J60" s="63"/>
      <c r="K60" s="63"/>
      <c r="L60" s="63"/>
      <c r="M60" s="63"/>
      <c r="N60" s="63"/>
      <c r="O60" s="63"/>
    </row>
    <row r="61" spans="1:17" ht="16.5" thickBot="1">
      <c r="A61" s="44">
        <v>2</v>
      </c>
      <c r="B61" s="44">
        <v>2</v>
      </c>
      <c r="C61" s="45">
        <v>3</v>
      </c>
      <c r="D61" s="44"/>
      <c r="E61" s="44"/>
      <c r="F61" s="57" t="s">
        <v>40</v>
      </c>
      <c r="G61" s="48">
        <f t="shared" ref="G61:K61" si="17">G62+G63</f>
        <v>550000</v>
      </c>
      <c r="H61" s="58">
        <f t="shared" si="17"/>
        <v>0</v>
      </c>
      <c r="I61" s="8" t="e">
        <f t="shared" si="17"/>
        <v>#REF!</v>
      </c>
      <c r="J61" s="58">
        <f t="shared" si="17"/>
        <v>0</v>
      </c>
      <c r="K61" s="58">
        <f t="shared" si="17"/>
        <v>1600</v>
      </c>
      <c r="L61" s="58">
        <f>L62+L63</f>
        <v>90183.12</v>
      </c>
      <c r="M61" s="58">
        <f>M62+M63</f>
        <v>130003.2</v>
      </c>
      <c r="N61" s="58">
        <f>N62+N63</f>
        <v>0</v>
      </c>
      <c r="O61" s="58">
        <f>O62+O63</f>
        <v>221786.32</v>
      </c>
    </row>
    <row r="62" spans="1:17" ht="15.75">
      <c r="A62" s="44">
        <v>2</v>
      </c>
      <c r="B62" s="44">
        <v>2</v>
      </c>
      <c r="C62" s="45">
        <v>3</v>
      </c>
      <c r="D62" s="44">
        <v>1</v>
      </c>
      <c r="E62" s="72"/>
      <c r="F62" s="59" t="s">
        <v>41</v>
      </c>
      <c r="G62" s="53"/>
      <c r="H62" s="54"/>
      <c r="I62" s="6" t="e">
        <f>+G62-#REF!</f>
        <v>#REF!</v>
      </c>
      <c r="J62" s="54"/>
      <c r="K62" s="54">
        <f>1000+300+300</f>
        <v>1600</v>
      </c>
      <c r="L62" s="54">
        <f>2000+500+1000+1000</f>
        <v>4500</v>
      </c>
      <c r="M62" s="54"/>
      <c r="N62" s="49"/>
      <c r="O62" s="56">
        <f>+H62+J62+K62+L62+M62+N62</f>
        <v>6100</v>
      </c>
    </row>
    <row r="63" spans="1:17" ht="15.75">
      <c r="A63" s="44">
        <v>2</v>
      </c>
      <c r="B63" s="44">
        <v>2</v>
      </c>
      <c r="C63" s="45">
        <v>3</v>
      </c>
      <c r="D63" s="44">
        <v>2</v>
      </c>
      <c r="E63" s="72"/>
      <c r="F63" s="59" t="s">
        <v>42</v>
      </c>
      <c r="G63" s="61">
        <v>550000</v>
      </c>
      <c r="H63" s="63"/>
      <c r="I63" s="10" t="e">
        <f>+G63-#REF!</f>
        <v>#REF!</v>
      </c>
      <c r="J63" s="63"/>
      <c r="K63" s="63"/>
      <c r="L63" s="63">
        <v>85683.12</v>
      </c>
      <c r="M63" s="63">
        <v>130003.2</v>
      </c>
      <c r="N63" s="63"/>
      <c r="O63" s="56">
        <f>+H63+J63+K63+L63+M63+N63</f>
        <v>215686.32</v>
      </c>
    </row>
    <row r="64" spans="1:17" ht="15.75">
      <c r="A64" s="44"/>
      <c r="B64" s="44"/>
      <c r="C64" s="45"/>
      <c r="D64" s="44"/>
      <c r="E64" s="44"/>
      <c r="F64" s="59"/>
      <c r="G64" s="61"/>
      <c r="H64" s="63"/>
      <c r="I64" s="10" t="e">
        <f>+G64-#REF!</f>
        <v>#REF!</v>
      </c>
      <c r="J64" s="63"/>
      <c r="K64" s="63"/>
      <c r="L64" s="63"/>
      <c r="M64" s="63"/>
      <c r="N64" s="63"/>
      <c r="O64" s="63"/>
    </row>
    <row r="65" spans="1:16" ht="16.5" thickBot="1">
      <c r="A65" s="44">
        <v>2</v>
      </c>
      <c r="B65" s="44">
        <v>2</v>
      </c>
      <c r="C65" s="45">
        <v>4</v>
      </c>
      <c r="D65" s="44"/>
      <c r="E65" s="44"/>
      <c r="F65" s="57" t="s">
        <v>43</v>
      </c>
      <c r="G65" s="48">
        <f t="shared" ref="G65:H65" si="18">G66+G67</f>
        <v>280000</v>
      </c>
      <c r="H65" s="58">
        <f t="shared" si="18"/>
        <v>6910.99</v>
      </c>
      <c r="I65" s="8" t="e">
        <f>+G65-#REF!</f>
        <v>#REF!</v>
      </c>
      <c r="J65" s="58">
        <f t="shared" ref="J65:K65" si="19">J66+J67</f>
        <v>1600</v>
      </c>
      <c r="K65" s="58">
        <f t="shared" si="19"/>
        <v>5688.34</v>
      </c>
      <c r="L65" s="58">
        <f>L66+L67</f>
        <v>17923.03</v>
      </c>
      <c r="M65" s="58">
        <f>M66+M67</f>
        <v>35708.619999999995</v>
      </c>
      <c r="N65" s="58">
        <f>N66+N67</f>
        <v>4330.1899999999996</v>
      </c>
      <c r="O65" s="58">
        <f>O66+O67</f>
        <v>72161.17</v>
      </c>
    </row>
    <row r="66" spans="1:16" ht="15.75">
      <c r="A66" s="44">
        <v>2</v>
      </c>
      <c r="B66" s="44">
        <v>2</v>
      </c>
      <c r="C66" s="45">
        <v>4</v>
      </c>
      <c r="D66" s="44">
        <v>1</v>
      </c>
      <c r="E66" s="44"/>
      <c r="F66" s="59" t="s">
        <v>44</v>
      </c>
      <c r="G66" s="60">
        <v>280000</v>
      </c>
      <c r="H66" s="63">
        <f>780+6130.99</f>
        <v>6910.99</v>
      </c>
      <c r="I66" s="10" t="e">
        <f>+G66-#REF!</f>
        <v>#REF!</v>
      </c>
      <c r="J66" s="63">
        <f>200+100+100+200+300+200+200+300</f>
        <v>1600</v>
      </c>
      <c r="K66" s="63">
        <f>4338.34+100+100+100+100+100+100+200+50+100+100+100+100+100</f>
        <v>5688.34</v>
      </c>
      <c r="L66" s="63">
        <f>10037.83+100+100+100+7585.2</f>
        <v>17923.03</v>
      </c>
      <c r="M66" s="63">
        <f>26358.62+6850+300+500+300+500+700+200</f>
        <v>35708.619999999995</v>
      </c>
      <c r="N66" s="62">
        <f>4130.19+100+100</f>
        <v>4330.1899999999996</v>
      </c>
      <c r="O66" s="123">
        <f>+H66+J66+K66+L66+M66+N66</f>
        <v>72161.17</v>
      </c>
    </row>
    <row r="67" spans="1:16" ht="15.75">
      <c r="A67" s="44">
        <v>2</v>
      </c>
      <c r="B67" s="44">
        <v>2</v>
      </c>
      <c r="C67" s="45">
        <v>4</v>
      </c>
      <c r="D67" s="44">
        <v>3</v>
      </c>
      <c r="E67" s="44"/>
      <c r="F67" s="59" t="s">
        <v>45</v>
      </c>
      <c r="G67" s="61"/>
      <c r="H67" s="63">
        <v>0</v>
      </c>
      <c r="I67" s="10" t="e">
        <f>+G67-#REF!</f>
        <v>#REF!</v>
      </c>
      <c r="J67" s="63">
        <v>0</v>
      </c>
      <c r="K67" s="63"/>
      <c r="L67" s="63"/>
      <c r="M67" s="63"/>
      <c r="N67" s="63"/>
      <c r="O67" s="63">
        <f>+H67+J67+K67+L67+M67+N67</f>
        <v>0</v>
      </c>
    </row>
    <row r="68" spans="1:16" ht="15.75">
      <c r="A68" s="44"/>
      <c r="B68" s="44"/>
      <c r="C68" s="45"/>
      <c r="D68" s="44"/>
      <c r="E68" s="44"/>
      <c r="F68" s="59"/>
      <c r="G68" s="61"/>
      <c r="H68" s="63"/>
      <c r="I68" s="10" t="e">
        <f>+G68-#REF!</f>
        <v>#REF!</v>
      </c>
      <c r="J68" s="63"/>
      <c r="K68" s="63"/>
      <c r="L68" s="63"/>
      <c r="M68" s="63"/>
      <c r="N68" s="63"/>
      <c r="O68" s="63"/>
    </row>
    <row r="69" spans="1:16" ht="16.5" thickBot="1">
      <c r="A69" s="44">
        <v>2</v>
      </c>
      <c r="B69" s="44">
        <v>2</v>
      </c>
      <c r="C69" s="45">
        <v>5</v>
      </c>
      <c r="D69" s="44"/>
      <c r="E69" s="44"/>
      <c r="F69" s="57" t="s">
        <v>46</v>
      </c>
      <c r="G69" s="48">
        <f>G70+G75</f>
        <v>10015311</v>
      </c>
      <c r="H69" s="49">
        <f t="shared" ref="H69:K69" si="20">H72+H70</f>
        <v>792285.26</v>
      </c>
      <c r="I69" s="4" t="e">
        <f t="shared" si="20"/>
        <v>#REF!</v>
      </c>
      <c r="J69" s="49">
        <f t="shared" si="20"/>
        <v>801242.44</v>
      </c>
      <c r="K69" s="49">
        <f t="shared" si="20"/>
        <v>801396.64</v>
      </c>
      <c r="L69" s="49">
        <f>L72+L70</f>
        <v>806109.24</v>
      </c>
      <c r="M69" s="49">
        <f>M72+M70</f>
        <v>792121.59</v>
      </c>
      <c r="N69" s="58">
        <f>N72+N70</f>
        <v>806673.29</v>
      </c>
      <c r="O69" s="58">
        <f>O72+O70</f>
        <v>4799828.46</v>
      </c>
    </row>
    <row r="70" spans="1:16" ht="31.5">
      <c r="A70" s="44">
        <v>2</v>
      </c>
      <c r="B70" s="44">
        <v>2</v>
      </c>
      <c r="C70" s="45">
        <v>5</v>
      </c>
      <c r="D70" s="44">
        <v>1</v>
      </c>
      <c r="E70" s="44"/>
      <c r="F70" s="52" t="s">
        <v>47</v>
      </c>
      <c r="G70" s="60">
        <v>9685383</v>
      </c>
      <c r="H70" s="62">
        <f>17098.97+766926.29</f>
        <v>784025.26</v>
      </c>
      <c r="I70" s="11" t="e">
        <f>+G70-#REF!</f>
        <v>#REF!</v>
      </c>
      <c r="J70" s="62">
        <f>17294.32+775688.12</f>
        <v>792982.44</v>
      </c>
      <c r="K70" s="62">
        <f>17297.68+775838.96</f>
        <v>793136.64000000001</v>
      </c>
      <c r="L70" s="62">
        <f>17400.46+780448.78</f>
        <v>797849.24</v>
      </c>
      <c r="M70" s="62">
        <f>766766.19+17095.4</f>
        <v>783861.59</v>
      </c>
      <c r="N70" s="63">
        <f>17412.76+781000.53</f>
        <v>798413.29</v>
      </c>
      <c r="O70" s="56">
        <f>+H70+J70+K70+L70+M70+N70</f>
        <v>4750268.46</v>
      </c>
    </row>
    <row r="71" spans="1:16" ht="15.75">
      <c r="A71" s="44"/>
      <c r="B71" s="44"/>
      <c r="C71" s="45"/>
      <c r="D71" s="44"/>
      <c r="E71" s="72"/>
      <c r="F71" s="59"/>
      <c r="G71" s="61"/>
      <c r="H71" s="63"/>
      <c r="I71" s="10"/>
      <c r="J71" s="63"/>
      <c r="K71" s="63"/>
      <c r="L71" s="63"/>
      <c r="M71" s="63"/>
      <c r="N71" s="63"/>
      <c r="O71" s="63"/>
    </row>
    <row r="72" spans="1:16" ht="32.25" thickBot="1">
      <c r="A72" s="44">
        <v>2</v>
      </c>
      <c r="B72" s="44">
        <v>2</v>
      </c>
      <c r="C72" s="45">
        <v>5</v>
      </c>
      <c r="D72" s="44">
        <v>3</v>
      </c>
      <c r="E72" s="46"/>
      <c r="F72" s="57" t="s">
        <v>48</v>
      </c>
      <c r="G72" s="48">
        <f t="shared" ref="G72:O72" si="21">G73+G74+G75</f>
        <v>329928</v>
      </c>
      <c r="H72" s="58">
        <f t="shared" si="21"/>
        <v>8260</v>
      </c>
      <c r="I72" s="8" t="e">
        <f t="shared" si="21"/>
        <v>#REF!</v>
      </c>
      <c r="J72" s="58">
        <f t="shared" si="21"/>
        <v>8260</v>
      </c>
      <c r="K72" s="58">
        <f t="shared" si="21"/>
        <v>8260</v>
      </c>
      <c r="L72" s="58">
        <f t="shared" si="21"/>
        <v>8260</v>
      </c>
      <c r="M72" s="58">
        <f>M73+M74+M75</f>
        <v>8260</v>
      </c>
      <c r="N72" s="58">
        <f>N73+N74+N75</f>
        <v>8260</v>
      </c>
      <c r="O72" s="58">
        <f t="shared" si="21"/>
        <v>49560</v>
      </c>
    </row>
    <row r="73" spans="1:16" ht="15.75">
      <c r="A73" s="44">
        <v>2</v>
      </c>
      <c r="B73" s="44">
        <v>2</v>
      </c>
      <c r="C73" s="45">
        <v>5</v>
      </c>
      <c r="D73" s="44">
        <v>3</v>
      </c>
      <c r="E73" s="44">
        <v>2</v>
      </c>
      <c r="F73" s="52" t="s">
        <v>49</v>
      </c>
      <c r="G73" s="60"/>
      <c r="H73" s="63">
        <v>0</v>
      </c>
      <c r="I73" s="10" t="e">
        <f>+G73-#REF!</f>
        <v>#REF!</v>
      </c>
      <c r="J73" s="63">
        <v>0</v>
      </c>
      <c r="K73" s="63"/>
      <c r="L73" s="63"/>
      <c r="M73" s="63"/>
      <c r="N73" s="63"/>
      <c r="O73" s="56">
        <f>+H73+J73+K73+L73+M73+N73</f>
        <v>0</v>
      </c>
    </row>
    <row r="74" spans="1:16" ht="31.5">
      <c r="A74" s="44">
        <v>2</v>
      </c>
      <c r="B74" s="44">
        <v>2</v>
      </c>
      <c r="C74" s="45">
        <v>5</v>
      </c>
      <c r="D74" s="44">
        <v>3</v>
      </c>
      <c r="E74" s="44">
        <v>3</v>
      </c>
      <c r="F74" s="52" t="s">
        <v>50</v>
      </c>
      <c r="G74" s="61"/>
      <c r="H74" s="63"/>
      <c r="I74" s="10" t="e">
        <f>+G74-#REF!</f>
        <v>#REF!</v>
      </c>
      <c r="J74" s="63"/>
      <c r="K74" s="63"/>
      <c r="L74" s="63"/>
      <c r="M74" s="63"/>
      <c r="N74" s="63"/>
      <c r="O74" s="56">
        <f>+H74+J74+K74+L74+M74+N74</f>
        <v>0</v>
      </c>
    </row>
    <row r="75" spans="1:16" ht="31.5">
      <c r="A75" s="44">
        <v>2</v>
      </c>
      <c r="B75" s="44">
        <v>2</v>
      </c>
      <c r="C75" s="45">
        <v>5</v>
      </c>
      <c r="D75" s="44">
        <v>3</v>
      </c>
      <c r="E75" s="44">
        <v>4</v>
      </c>
      <c r="F75" s="52" t="s">
        <v>51</v>
      </c>
      <c r="G75" s="61">
        <v>329928</v>
      </c>
      <c r="H75" s="63">
        <v>8260</v>
      </c>
      <c r="I75" s="10" t="e">
        <f>+G75-#REF!</f>
        <v>#REF!</v>
      </c>
      <c r="J75" s="63">
        <v>8260</v>
      </c>
      <c r="K75" s="63">
        <v>8260</v>
      </c>
      <c r="L75" s="63">
        <v>8260</v>
      </c>
      <c r="M75" s="63">
        <v>8260</v>
      </c>
      <c r="N75" s="63">
        <v>8260</v>
      </c>
      <c r="O75" s="56">
        <f>+H75+J75+K75+L75+M75+N75</f>
        <v>49560</v>
      </c>
    </row>
    <row r="76" spans="1:16" ht="15.75">
      <c r="A76" s="44"/>
      <c r="B76" s="44"/>
      <c r="C76" s="45"/>
      <c r="D76" s="44"/>
      <c r="E76" s="44"/>
      <c r="F76" s="52"/>
      <c r="G76" s="61"/>
      <c r="H76" s="63"/>
      <c r="I76" s="10"/>
      <c r="J76" s="63"/>
      <c r="K76" s="63"/>
      <c r="L76" s="63"/>
      <c r="M76" s="63"/>
      <c r="N76" s="63"/>
      <c r="O76" s="63"/>
    </row>
    <row r="77" spans="1:16" ht="16.5" thickBot="1">
      <c r="A77" s="44"/>
      <c r="B77" s="44"/>
      <c r="C77" s="45"/>
      <c r="D77" s="44"/>
      <c r="E77" s="44"/>
      <c r="F77" s="52"/>
      <c r="G77" s="61"/>
      <c r="H77" s="63"/>
      <c r="I77" s="10"/>
      <c r="J77" s="63"/>
      <c r="K77" s="63"/>
      <c r="L77" s="63"/>
      <c r="M77" s="63"/>
      <c r="N77" s="63"/>
      <c r="O77" s="63"/>
    </row>
    <row r="78" spans="1:16" s="18" customFormat="1" ht="16.5" thickBot="1">
      <c r="A78" s="44">
        <v>2</v>
      </c>
      <c r="B78" s="44">
        <v>2</v>
      </c>
      <c r="C78" s="45">
        <v>6</v>
      </c>
      <c r="D78" s="44"/>
      <c r="E78" s="44"/>
      <c r="F78" s="52" t="s">
        <v>52</v>
      </c>
      <c r="G78" s="65">
        <f t="shared" ref="G78:O78" si="22">G80+G79</f>
        <v>1434252</v>
      </c>
      <c r="H78" s="66">
        <f t="shared" si="22"/>
        <v>108478.82</v>
      </c>
      <c r="I78" s="66" t="e">
        <f t="shared" si="22"/>
        <v>#REF!</v>
      </c>
      <c r="J78" s="66">
        <f t="shared" si="22"/>
        <v>108478.82</v>
      </c>
      <c r="K78" s="66">
        <f t="shared" si="22"/>
        <v>191755.74</v>
      </c>
      <c r="L78" s="66">
        <f t="shared" si="22"/>
        <v>229933.34000000003</v>
      </c>
      <c r="M78" s="66">
        <f t="shared" si="22"/>
        <v>125469</v>
      </c>
      <c r="N78" s="66">
        <f t="shared" si="22"/>
        <v>125468.75</v>
      </c>
      <c r="O78" s="66">
        <f t="shared" si="22"/>
        <v>889584.47</v>
      </c>
    </row>
    <row r="79" spans="1:16" ht="16.5" thickBot="1">
      <c r="A79" s="73">
        <v>2</v>
      </c>
      <c r="B79" s="73">
        <v>2</v>
      </c>
      <c r="C79" s="74">
        <v>6</v>
      </c>
      <c r="D79" s="73">
        <v>2</v>
      </c>
      <c r="E79" s="73">
        <v>1</v>
      </c>
      <c r="F79" s="75" t="s">
        <v>53</v>
      </c>
      <c r="G79" s="76">
        <v>125000</v>
      </c>
      <c r="H79" s="51"/>
      <c r="I79" s="14" t="e">
        <f>+G79-#REF!</f>
        <v>#REF!</v>
      </c>
      <c r="J79" s="51"/>
      <c r="K79" s="51"/>
      <c r="L79" s="51">
        <f>101556.1</f>
        <v>101556.1</v>
      </c>
      <c r="M79" s="51"/>
      <c r="N79" s="51"/>
      <c r="O79" s="83">
        <f>+H79+J79+K79+L79+M79+N79</f>
        <v>101556.1</v>
      </c>
      <c r="P79" s="165"/>
    </row>
    <row r="80" spans="1:16" ht="15.75">
      <c r="A80" s="44">
        <v>2</v>
      </c>
      <c r="B80" s="44">
        <v>2</v>
      </c>
      <c r="C80" s="45">
        <v>6</v>
      </c>
      <c r="D80" s="44">
        <v>3</v>
      </c>
      <c r="E80" s="44">
        <v>1</v>
      </c>
      <c r="F80" s="52" t="s">
        <v>54</v>
      </c>
      <c r="G80" s="61">
        <v>1309252</v>
      </c>
      <c r="H80" s="63">
        <v>108478.82</v>
      </c>
      <c r="I80" s="10" t="e">
        <f>+G80-#REF!</f>
        <v>#REF!</v>
      </c>
      <c r="J80" s="63">
        <v>108478.82</v>
      </c>
      <c r="K80" s="63">
        <f>113089.65+39242.96+23071.9+16351.23</f>
        <v>191755.74</v>
      </c>
      <c r="L80" s="63">
        <f>112025.61+16351.63</f>
        <v>128377.24</v>
      </c>
      <c r="M80" s="63">
        <v>125469</v>
      </c>
      <c r="N80" s="63">
        <v>125468.75</v>
      </c>
      <c r="O80" s="56">
        <f>+H80+J80+K80+L80+M80+N80</f>
        <v>788028.37</v>
      </c>
      <c r="P80" s="165"/>
    </row>
    <row r="81" spans="1:16" ht="15.75">
      <c r="A81" s="44"/>
      <c r="B81" s="44"/>
      <c r="C81" s="45"/>
      <c r="D81" s="44"/>
      <c r="E81" s="44"/>
      <c r="F81" s="52"/>
      <c r="G81" s="61"/>
      <c r="H81" s="63">
        <v>0</v>
      </c>
      <c r="I81" s="10">
        <v>0</v>
      </c>
      <c r="J81" s="63">
        <v>0</v>
      </c>
      <c r="K81" s="63"/>
      <c r="L81" s="63"/>
      <c r="M81" s="63"/>
      <c r="N81" s="63"/>
      <c r="O81" s="56">
        <f>+H81+J81+K81+L81+M81+N81</f>
        <v>0</v>
      </c>
      <c r="P81" s="19"/>
    </row>
    <row r="82" spans="1:16" ht="15.75">
      <c r="A82" s="44"/>
      <c r="B82" s="44"/>
      <c r="C82" s="45"/>
      <c r="D82" s="44"/>
      <c r="E82" s="44"/>
      <c r="F82" s="52"/>
      <c r="G82" s="61"/>
      <c r="H82" s="63"/>
      <c r="I82" s="10"/>
      <c r="J82" s="63"/>
      <c r="K82" s="63"/>
      <c r="L82" s="63"/>
      <c r="M82" s="63"/>
      <c r="N82" s="63"/>
      <c r="O82" s="63"/>
    </row>
    <row r="83" spans="1:16" ht="48" thickBot="1">
      <c r="A83" s="44">
        <v>2</v>
      </c>
      <c r="B83" s="44">
        <v>2</v>
      </c>
      <c r="C83" s="45">
        <v>7</v>
      </c>
      <c r="D83" s="44"/>
      <c r="E83" s="46"/>
      <c r="F83" s="57" t="s">
        <v>55</v>
      </c>
      <c r="G83" s="78">
        <f>G84</f>
        <v>45117</v>
      </c>
      <c r="H83" s="49">
        <f>SUM(H85:H89)</f>
        <v>19800.52</v>
      </c>
      <c r="I83" s="49" t="e">
        <f t="shared" ref="I83:K83" si="23">SUM(I85:I89)</f>
        <v>#REF!</v>
      </c>
      <c r="J83" s="49">
        <f t="shared" si="23"/>
        <v>650</v>
      </c>
      <c r="K83" s="49">
        <f t="shared" si="23"/>
        <v>0</v>
      </c>
      <c r="L83" s="49">
        <f>SUM(L85:L89)</f>
        <v>4000</v>
      </c>
      <c r="M83" s="49">
        <f>SUM(M85:M89)</f>
        <v>164125.1</v>
      </c>
      <c r="N83" s="49">
        <f>SUM(N85:N89)</f>
        <v>9324.18</v>
      </c>
      <c r="O83" s="49">
        <f>SUM(O85:O89)</f>
        <v>197899.8</v>
      </c>
    </row>
    <row r="84" spans="1:16" ht="32.25" thickBot="1">
      <c r="A84" s="44">
        <v>2</v>
      </c>
      <c r="B84" s="44">
        <v>2</v>
      </c>
      <c r="C84" s="45">
        <v>7</v>
      </c>
      <c r="D84" s="44">
        <v>2</v>
      </c>
      <c r="E84" s="46"/>
      <c r="F84" s="57" t="s">
        <v>56</v>
      </c>
      <c r="G84" s="65">
        <f>SUM(G86:G89)</f>
        <v>45117</v>
      </c>
      <c r="H84" s="116">
        <f>SUM(H85:H89)</f>
        <v>19800.52</v>
      </c>
      <c r="I84" s="116" t="e">
        <f t="shared" ref="I84:L84" si="24">SUM(I85:I89)</f>
        <v>#REF!</v>
      </c>
      <c r="J84" s="116">
        <f t="shared" si="24"/>
        <v>650</v>
      </c>
      <c r="K84" s="116">
        <f t="shared" si="24"/>
        <v>0</v>
      </c>
      <c r="L84" s="116">
        <f t="shared" si="24"/>
        <v>4000</v>
      </c>
      <c r="M84" s="116">
        <f>SUM(M85:M89)</f>
        <v>164125.1</v>
      </c>
      <c r="N84" s="116">
        <f>SUM(N85:N89)</f>
        <v>9324.18</v>
      </c>
      <c r="O84" s="116">
        <f>SUM(O85:O89)</f>
        <v>197899.8</v>
      </c>
    </row>
    <row r="85" spans="1:16" ht="31.5">
      <c r="A85" s="44">
        <v>2</v>
      </c>
      <c r="B85" s="44">
        <v>2</v>
      </c>
      <c r="C85" s="45">
        <v>7</v>
      </c>
      <c r="D85" s="44">
        <v>1</v>
      </c>
      <c r="E85" s="72">
        <v>2</v>
      </c>
      <c r="F85" s="79" t="s">
        <v>57</v>
      </c>
      <c r="G85" s="78"/>
      <c r="H85" s="117"/>
      <c r="I85" s="10" t="e">
        <f>+G85-#REF!</f>
        <v>#REF!</v>
      </c>
      <c r="J85" s="117"/>
      <c r="K85" s="117"/>
      <c r="L85" s="117">
        <f>2000+1500</f>
        <v>3500</v>
      </c>
      <c r="M85" s="117">
        <v>164125.1</v>
      </c>
      <c r="N85" s="118">
        <v>9324.18</v>
      </c>
      <c r="O85" s="123">
        <f>+H85+J85+K85+L85+M85+N85</f>
        <v>176949.28</v>
      </c>
    </row>
    <row r="86" spans="1:16" ht="31.5">
      <c r="A86" s="44">
        <v>2</v>
      </c>
      <c r="B86" s="44">
        <v>2</v>
      </c>
      <c r="C86" s="45">
        <v>7</v>
      </c>
      <c r="D86" s="44">
        <v>2</v>
      </c>
      <c r="E86" s="72">
        <v>2</v>
      </c>
      <c r="F86" s="79" t="s">
        <v>58</v>
      </c>
      <c r="G86" s="61">
        <v>9117</v>
      </c>
      <c r="H86" s="63">
        <v>0</v>
      </c>
      <c r="I86" s="10" t="e">
        <f>+G86-#REF!</f>
        <v>#REF!</v>
      </c>
      <c r="J86" s="63">
        <v>0</v>
      </c>
      <c r="K86" s="63"/>
      <c r="L86" s="63"/>
      <c r="M86" s="63"/>
      <c r="N86" s="63"/>
      <c r="O86" s="56">
        <f>+H86+J86+K86+L86+M86+N86</f>
        <v>0</v>
      </c>
    </row>
    <row r="87" spans="1:16" ht="31.5">
      <c r="A87" s="44">
        <v>2</v>
      </c>
      <c r="B87" s="44">
        <v>2</v>
      </c>
      <c r="C87" s="45">
        <v>7</v>
      </c>
      <c r="D87" s="44">
        <v>2</v>
      </c>
      <c r="E87" s="72">
        <v>3</v>
      </c>
      <c r="F87" s="79" t="s">
        <v>59</v>
      </c>
      <c r="G87" s="61"/>
      <c r="H87" s="63">
        <f>G87*12</f>
        <v>0</v>
      </c>
      <c r="I87" s="10" t="e">
        <f>+G87-#REF!</f>
        <v>#REF!</v>
      </c>
      <c r="J87" s="63"/>
      <c r="K87" s="63"/>
      <c r="L87" s="63"/>
      <c r="M87" s="63"/>
      <c r="N87" s="63"/>
      <c r="O87" s="56">
        <f>+H87+J87+K87+L87+M87+N87</f>
        <v>0</v>
      </c>
    </row>
    <row r="88" spans="1:16" ht="31.5">
      <c r="A88" s="44">
        <v>2</v>
      </c>
      <c r="B88" s="44">
        <v>2</v>
      </c>
      <c r="C88" s="45">
        <v>7</v>
      </c>
      <c r="D88" s="44">
        <v>2</v>
      </c>
      <c r="E88" s="72">
        <v>4</v>
      </c>
      <c r="F88" s="79" t="s">
        <v>60</v>
      </c>
      <c r="G88" s="61">
        <v>24000</v>
      </c>
      <c r="H88" s="63"/>
      <c r="I88" s="10" t="e">
        <f>+G88-#REF!</f>
        <v>#REF!</v>
      </c>
      <c r="J88" s="63"/>
      <c r="K88" s="63"/>
      <c r="L88" s="63"/>
      <c r="M88" s="63"/>
      <c r="N88" s="63"/>
      <c r="O88" s="56">
        <f>+H88+J88+K88+L88+M88+N88</f>
        <v>0</v>
      </c>
    </row>
    <row r="89" spans="1:16" ht="47.25">
      <c r="A89" s="44">
        <v>2</v>
      </c>
      <c r="B89" s="44">
        <v>2</v>
      </c>
      <c r="C89" s="45">
        <v>7</v>
      </c>
      <c r="D89" s="44">
        <v>2</v>
      </c>
      <c r="E89" s="72">
        <v>6</v>
      </c>
      <c r="F89" s="79" t="s">
        <v>61</v>
      </c>
      <c r="G89" s="61">
        <v>12000</v>
      </c>
      <c r="H89" s="63">
        <f>9670.1+9530.42+600</f>
        <v>19800.52</v>
      </c>
      <c r="I89" s="10" t="e">
        <f>+G89-#REF!</f>
        <v>#REF!</v>
      </c>
      <c r="J89" s="63">
        <v>650</v>
      </c>
      <c r="K89" s="63"/>
      <c r="L89" s="63">
        <v>500</v>
      </c>
      <c r="M89" s="117"/>
      <c r="N89" s="117"/>
      <c r="O89" s="56">
        <f>+H89+J89+K89+L89+M89+N89</f>
        <v>20950.52</v>
      </c>
      <c r="P89" s="165"/>
    </row>
    <row r="90" spans="1:16" ht="15.75">
      <c r="A90" s="44"/>
      <c r="B90" s="44"/>
      <c r="C90" s="45"/>
      <c r="D90" s="44"/>
      <c r="E90" s="72"/>
      <c r="F90" s="59"/>
      <c r="G90" s="61"/>
      <c r="H90" s="63"/>
      <c r="I90" s="10"/>
      <c r="J90" s="63"/>
      <c r="K90" s="63"/>
      <c r="L90" s="63"/>
      <c r="M90" s="63"/>
      <c r="N90" s="63"/>
      <c r="O90" s="63"/>
    </row>
    <row r="91" spans="1:16" ht="16.5" thickBot="1">
      <c r="A91" s="44">
        <v>2</v>
      </c>
      <c r="B91" s="44">
        <v>2</v>
      </c>
      <c r="C91" s="45">
        <v>8</v>
      </c>
      <c r="D91" s="44"/>
      <c r="E91" s="46"/>
      <c r="F91" s="57" t="s">
        <v>62</v>
      </c>
      <c r="G91" s="78">
        <f>SUM(G92+G93)+G95+G99</f>
        <v>4392936</v>
      </c>
      <c r="H91" s="49">
        <f>H92+H93+H95+H99</f>
        <v>256177.13999999998</v>
      </c>
      <c r="I91" s="4" t="e">
        <f t="shared" ref="I91:O91" si="25">I92+I93+I95+I99</f>
        <v>#REF!</v>
      </c>
      <c r="J91" s="49">
        <f t="shared" si="25"/>
        <v>436592.42</v>
      </c>
      <c r="K91" s="49">
        <f t="shared" si="25"/>
        <v>418896.86999999994</v>
      </c>
      <c r="L91" s="49">
        <f t="shared" si="25"/>
        <v>742049.15</v>
      </c>
      <c r="M91" s="49">
        <f t="shared" si="25"/>
        <v>558299.6</v>
      </c>
      <c r="N91" s="58">
        <f t="shared" si="25"/>
        <v>541933.75000000012</v>
      </c>
      <c r="O91" s="58">
        <f t="shared" si="25"/>
        <v>2953948.9299999997</v>
      </c>
    </row>
    <row r="92" spans="1:16" ht="15.75">
      <c r="A92" s="44">
        <v>2</v>
      </c>
      <c r="B92" s="44">
        <v>2</v>
      </c>
      <c r="C92" s="45">
        <v>8</v>
      </c>
      <c r="D92" s="44">
        <v>2</v>
      </c>
      <c r="E92" s="72"/>
      <c r="F92" s="80" t="s">
        <v>63</v>
      </c>
      <c r="G92" s="60">
        <v>102000</v>
      </c>
      <c r="H92" s="62">
        <v>5155.28</v>
      </c>
      <c r="I92" s="11" t="e">
        <f>+G92-#REF!</f>
        <v>#REF!</v>
      </c>
      <c r="J92" s="62">
        <v>4982.54</v>
      </c>
      <c r="K92" s="62">
        <v>5146.79</v>
      </c>
      <c r="L92" s="62">
        <v>6349.16</v>
      </c>
      <c r="M92" s="62">
        <v>6493.55</v>
      </c>
      <c r="N92" s="63">
        <v>10422.81</v>
      </c>
      <c r="O92" s="56">
        <f>+H92+J92+K92+L92+M92+N92</f>
        <v>38550.129999999997</v>
      </c>
    </row>
    <row r="93" spans="1:16" ht="31.5">
      <c r="A93" s="44">
        <v>2</v>
      </c>
      <c r="B93" s="44">
        <v>2</v>
      </c>
      <c r="C93" s="45">
        <v>8</v>
      </c>
      <c r="D93" s="44">
        <v>4</v>
      </c>
      <c r="E93" s="44"/>
      <c r="F93" s="80" t="s">
        <v>64</v>
      </c>
      <c r="G93" s="61">
        <v>0</v>
      </c>
      <c r="H93" s="63">
        <v>0</v>
      </c>
      <c r="I93" s="10">
        <v>0</v>
      </c>
      <c r="J93" s="63">
        <v>0</v>
      </c>
      <c r="K93" s="63"/>
      <c r="L93" s="63">
        <v>11800</v>
      </c>
      <c r="M93" s="63"/>
      <c r="N93" s="63"/>
      <c r="O93" s="56">
        <f>+H93+J93+K93+L93+M93+N93</f>
        <v>11800</v>
      </c>
    </row>
    <row r="94" spans="1:16" ht="15.75">
      <c r="A94" s="44"/>
      <c r="B94" s="44"/>
      <c r="C94" s="45"/>
      <c r="D94" s="44"/>
      <c r="E94" s="44"/>
      <c r="F94" s="80"/>
      <c r="G94" s="61"/>
      <c r="H94" s="63"/>
      <c r="I94" s="10"/>
      <c r="J94" s="63"/>
      <c r="K94" s="63"/>
      <c r="L94" s="63"/>
      <c r="M94" s="63"/>
      <c r="N94" s="63"/>
      <c r="O94" s="63"/>
    </row>
    <row r="95" spans="1:16" ht="32.25" thickBot="1">
      <c r="A95" s="44">
        <v>2</v>
      </c>
      <c r="B95" s="44">
        <v>2</v>
      </c>
      <c r="C95" s="45">
        <v>8</v>
      </c>
      <c r="D95" s="44">
        <v>6</v>
      </c>
      <c r="E95" s="46"/>
      <c r="F95" s="81" t="s">
        <v>65</v>
      </c>
      <c r="G95" s="78">
        <f t="shared" ref="G95:K95" si="26">G96+G97</f>
        <v>1894000</v>
      </c>
      <c r="H95" s="70">
        <f t="shared" si="26"/>
        <v>0</v>
      </c>
      <c r="I95" s="16" t="e">
        <f t="shared" si="26"/>
        <v>#REF!</v>
      </c>
      <c r="J95" s="70">
        <f t="shared" si="26"/>
        <v>0</v>
      </c>
      <c r="K95" s="70">
        <f t="shared" si="26"/>
        <v>0</v>
      </c>
      <c r="L95" s="70">
        <f>L96+L97</f>
        <v>2555</v>
      </c>
      <c r="M95" s="70">
        <f>M96+M97</f>
        <v>20746.650000000001</v>
      </c>
      <c r="N95" s="70"/>
      <c r="O95" s="70">
        <f>O96+O97</f>
        <v>23301.65</v>
      </c>
    </row>
    <row r="96" spans="1:16" ht="15.75">
      <c r="A96" s="44">
        <v>2</v>
      </c>
      <c r="B96" s="44">
        <v>2</v>
      </c>
      <c r="C96" s="45">
        <v>8</v>
      </c>
      <c r="D96" s="44">
        <v>6</v>
      </c>
      <c r="E96" s="44">
        <v>1</v>
      </c>
      <c r="F96" s="80" t="s">
        <v>66</v>
      </c>
      <c r="G96" s="60">
        <v>1882000</v>
      </c>
      <c r="H96" s="62">
        <v>0</v>
      </c>
      <c r="I96" s="10" t="e">
        <f>+G96-#REF!</f>
        <v>#REF!</v>
      </c>
      <c r="J96" s="62">
        <v>0</v>
      </c>
      <c r="K96" s="62"/>
      <c r="L96" s="62"/>
      <c r="M96" s="62"/>
      <c r="N96" s="63"/>
      <c r="O96" s="56">
        <f>+H96+J96+K96+L96+M96</f>
        <v>0</v>
      </c>
    </row>
    <row r="97" spans="1:16" ht="15.75">
      <c r="A97" s="44">
        <v>2</v>
      </c>
      <c r="B97" s="44">
        <v>2</v>
      </c>
      <c r="C97" s="45">
        <v>8</v>
      </c>
      <c r="D97" s="44">
        <v>6</v>
      </c>
      <c r="E97" s="44">
        <v>2</v>
      </c>
      <c r="F97" s="80" t="s">
        <v>67</v>
      </c>
      <c r="G97" s="61">
        <v>12000</v>
      </c>
      <c r="H97" s="63"/>
      <c r="I97" s="10" t="e">
        <f>+G97-#REF!</f>
        <v>#REF!</v>
      </c>
      <c r="J97" s="63"/>
      <c r="K97" s="63"/>
      <c r="L97" s="63">
        <f>2175+380</f>
        <v>2555</v>
      </c>
      <c r="M97" s="63">
        <f>15620+529.95+1644.7+120+2832</f>
        <v>20746.650000000001</v>
      </c>
      <c r="N97" s="63"/>
      <c r="O97" s="56">
        <f>+H97+J97+K97+L97+M97+N97</f>
        <v>23301.65</v>
      </c>
    </row>
    <row r="98" spans="1:16" ht="15.75">
      <c r="A98" s="44"/>
      <c r="B98" s="44"/>
      <c r="C98" s="45"/>
      <c r="D98" s="44"/>
      <c r="E98" s="44"/>
      <c r="F98" s="80"/>
      <c r="G98" s="61"/>
      <c r="H98" s="63">
        <v>0</v>
      </c>
      <c r="I98" s="10">
        <v>0</v>
      </c>
      <c r="J98" s="63">
        <v>0</v>
      </c>
      <c r="K98" s="63"/>
      <c r="L98" s="63"/>
      <c r="M98" s="63"/>
      <c r="N98" s="63"/>
      <c r="O98" s="63"/>
    </row>
    <row r="99" spans="1:16" ht="32.25" thickBot="1">
      <c r="A99" s="44">
        <v>2</v>
      </c>
      <c r="B99" s="44">
        <v>2</v>
      </c>
      <c r="C99" s="45">
        <v>8</v>
      </c>
      <c r="D99" s="44">
        <v>7</v>
      </c>
      <c r="E99" s="46"/>
      <c r="F99" s="81" t="s">
        <v>68</v>
      </c>
      <c r="G99" s="82">
        <f t="shared" ref="G99:O99" si="27">G100+G101+G102+G103+G104</f>
        <v>2396936</v>
      </c>
      <c r="H99" s="71">
        <f t="shared" si="27"/>
        <v>251021.86</v>
      </c>
      <c r="I99" s="4" t="e">
        <f t="shared" si="27"/>
        <v>#REF!</v>
      </c>
      <c r="J99" s="71">
        <f t="shared" si="27"/>
        <v>431609.88</v>
      </c>
      <c r="K99" s="71">
        <f t="shared" si="27"/>
        <v>413750.07999999996</v>
      </c>
      <c r="L99" s="71">
        <f>L100+L101+L102+L103+L104</f>
        <v>721344.99</v>
      </c>
      <c r="M99" s="71">
        <f>M100+M101+M102+M103+M104</f>
        <v>531059.4</v>
      </c>
      <c r="N99" s="71">
        <f>N100+N101+N102+N103+N104</f>
        <v>531510.94000000006</v>
      </c>
      <c r="O99" s="71">
        <f t="shared" si="27"/>
        <v>2880297.15</v>
      </c>
    </row>
    <row r="100" spans="1:16" ht="31.5">
      <c r="A100" s="44">
        <v>2</v>
      </c>
      <c r="B100" s="44">
        <v>2</v>
      </c>
      <c r="C100" s="45">
        <v>8</v>
      </c>
      <c r="D100" s="44">
        <v>7</v>
      </c>
      <c r="E100" s="44">
        <v>1</v>
      </c>
      <c r="F100" s="59" t="s">
        <v>69</v>
      </c>
      <c r="G100" s="61">
        <v>500000</v>
      </c>
      <c r="H100" s="63">
        <v>0</v>
      </c>
      <c r="I100" s="11" t="e">
        <f>+G100-#REF!</f>
        <v>#REF!</v>
      </c>
      <c r="J100" s="63">
        <v>0</v>
      </c>
      <c r="K100" s="63"/>
      <c r="L100" s="63"/>
      <c r="M100" s="63"/>
      <c r="N100" s="63"/>
      <c r="O100" s="56">
        <f>+H100+J100+K100+L100+M100+N100</f>
        <v>0</v>
      </c>
    </row>
    <row r="101" spans="1:16" ht="31.5">
      <c r="A101" s="44">
        <v>2</v>
      </c>
      <c r="B101" s="44">
        <v>2</v>
      </c>
      <c r="C101" s="45">
        <v>8</v>
      </c>
      <c r="D101" s="44">
        <v>7</v>
      </c>
      <c r="E101" s="72">
        <v>3</v>
      </c>
      <c r="F101" s="59" t="s">
        <v>70</v>
      </c>
      <c r="G101" s="61">
        <v>300000</v>
      </c>
      <c r="H101" s="63"/>
      <c r="I101" s="20" t="e">
        <f>+G101-#REF!</f>
        <v>#REF!</v>
      </c>
      <c r="J101" s="63"/>
      <c r="K101" s="63">
        <v>48000</v>
      </c>
      <c r="L101" s="63"/>
      <c r="M101" s="63">
        <v>192000</v>
      </c>
      <c r="N101" s="63"/>
      <c r="O101" s="56">
        <f>+H101+J101+K101+L101+M101+N101</f>
        <v>240000</v>
      </c>
    </row>
    <row r="102" spans="1:16" ht="15.75">
      <c r="A102" s="44">
        <v>2</v>
      </c>
      <c r="B102" s="44">
        <v>2</v>
      </c>
      <c r="C102" s="45">
        <v>8</v>
      </c>
      <c r="D102" s="44">
        <v>7</v>
      </c>
      <c r="E102" s="44">
        <v>4</v>
      </c>
      <c r="F102" s="59" t="s">
        <v>71</v>
      </c>
      <c r="G102" s="61"/>
      <c r="H102" s="63">
        <v>10000</v>
      </c>
      <c r="I102" s="20" t="e">
        <f>+G102-#REF!</f>
        <v>#REF!</v>
      </c>
      <c r="J102" s="63"/>
      <c r="K102" s="63">
        <v>5000</v>
      </c>
      <c r="L102" s="63">
        <v>16640</v>
      </c>
      <c r="M102" s="63">
        <v>11700</v>
      </c>
      <c r="N102" s="63"/>
      <c r="O102" s="56">
        <f>+H102+J102+K102+L102+M102+N102</f>
        <v>43340</v>
      </c>
    </row>
    <row r="103" spans="1:16" ht="31.5">
      <c r="A103" s="44">
        <v>2</v>
      </c>
      <c r="B103" s="44">
        <v>2</v>
      </c>
      <c r="C103" s="45">
        <v>8</v>
      </c>
      <c r="D103" s="44">
        <v>7</v>
      </c>
      <c r="E103" s="44">
        <v>5</v>
      </c>
      <c r="F103" s="59" t="s">
        <v>72</v>
      </c>
      <c r="G103" s="61">
        <v>12000</v>
      </c>
      <c r="H103" s="63">
        <v>3233.36</v>
      </c>
      <c r="I103" s="20" t="e">
        <f>+G103-#REF!</f>
        <v>#REF!</v>
      </c>
      <c r="J103" s="63"/>
      <c r="K103" s="63">
        <v>5655.28</v>
      </c>
      <c r="L103" s="63">
        <v>51829.599999999999</v>
      </c>
      <c r="M103" s="63">
        <v>4770.8999999999996</v>
      </c>
      <c r="N103" s="63">
        <v>4811.3999999999996</v>
      </c>
      <c r="O103" s="56">
        <f>+H103+J103+K103+L103+M103+N103</f>
        <v>70300.539999999994</v>
      </c>
      <c r="P103" s="165"/>
    </row>
    <row r="104" spans="1:16" ht="31.5">
      <c r="A104" s="44">
        <v>2</v>
      </c>
      <c r="B104" s="44">
        <v>2</v>
      </c>
      <c r="C104" s="45">
        <v>8</v>
      </c>
      <c r="D104" s="44">
        <v>7</v>
      </c>
      <c r="E104" s="44">
        <v>6</v>
      </c>
      <c r="F104" s="59" t="s">
        <v>73</v>
      </c>
      <c r="G104" s="61">
        <v>1584936</v>
      </c>
      <c r="H104" s="63">
        <f>38200+11800+43563+144225.5</f>
        <v>237788.5</v>
      </c>
      <c r="I104" s="20" t="e">
        <f>+G104-#REF!</f>
        <v>#REF!</v>
      </c>
      <c r="J104" s="63">
        <f>12000+21240+177541.38+11800+144225.5+43563+21240</f>
        <v>431609.88</v>
      </c>
      <c r="K104" s="63">
        <f>10620+26886.3+118000+11800+144225.5+43563</f>
        <v>355094.8</v>
      </c>
      <c r="L104" s="63">
        <f>29500+110963.37+6608+42480+90935.52+144225.5+11800+118000+43563+54800</f>
        <v>652875.39</v>
      </c>
      <c r="M104" s="63">
        <f>5000+43563+144225.5+118000+11800</f>
        <v>322588.5</v>
      </c>
      <c r="N104" s="63">
        <f>11800+118000+43563+5000+181871.04+144225.5+1000+21240</f>
        <v>526699.54</v>
      </c>
      <c r="O104" s="56">
        <f>+H104+J104+K104+L104+M104+N104</f>
        <v>2526656.61</v>
      </c>
      <c r="P104" s="165"/>
    </row>
    <row r="105" spans="1:16" ht="16.5" thickBot="1">
      <c r="A105" s="44"/>
      <c r="B105" s="44"/>
      <c r="C105" s="45"/>
      <c r="D105" s="44"/>
      <c r="E105" s="44"/>
      <c r="F105" s="59"/>
      <c r="G105" s="64"/>
      <c r="H105" s="70"/>
      <c r="I105" s="16"/>
      <c r="J105" s="70"/>
      <c r="K105" s="70"/>
      <c r="L105" s="70"/>
      <c r="M105" s="70"/>
      <c r="N105" s="70"/>
      <c r="O105" s="70"/>
      <c r="P105" s="165"/>
    </row>
    <row r="106" spans="1:16" ht="32.25" thickBot="1">
      <c r="A106" s="44">
        <v>2</v>
      </c>
      <c r="B106" s="44">
        <v>2</v>
      </c>
      <c r="C106" s="45">
        <v>9</v>
      </c>
      <c r="D106" s="44"/>
      <c r="E106" s="44"/>
      <c r="F106" s="57" t="s">
        <v>74</v>
      </c>
      <c r="G106" s="53">
        <f>G107+G108</f>
        <v>12000</v>
      </c>
      <c r="H106" s="118">
        <f t="shared" ref="H106:K106" si="28">H107+H108</f>
        <v>33893.49</v>
      </c>
      <c r="I106" s="21" t="e">
        <f t="shared" si="28"/>
        <v>#REF!</v>
      </c>
      <c r="J106" s="118">
        <f t="shared" si="28"/>
        <v>47097.1</v>
      </c>
      <c r="K106" s="118">
        <f t="shared" si="28"/>
        <v>15197.85</v>
      </c>
      <c r="L106" s="118">
        <f>L107+L108</f>
        <v>103340.88</v>
      </c>
      <c r="M106" s="118">
        <f>M107+M108</f>
        <v>5899.8</v>
      </c>
      <c r="N106" s="118">
        <f>N107+N108</f>
        <v>87945</v>
      </c>
      <c r="O106" s="118">
        <f>O107+O108</f>
        <v>293374.12</v>
      </c>
      <c r="P106" s="165"/>
    </row>
    <row r="107" spans="1:16" ht="16.5" thickBot="1">
      <c r="A107" s="44">
        <v>2</v>
      </c>
      <c r="B107" s="44">
        <v>2</v>
      </c>
      <c r="C107" s="45">
        <v>9</v>
      </c>
      <c r="D107" s="44">
        <v>2</v>
      </c>
      <c r="E107" s="44"/>
      <c r="F107" s="80" t="s">
        <v>75</v>
      </c>
      <c r="G107" s="50"/>
      <c r="H107" s="83"/>
      <c r="I107" s="22" t="e">
        <f>+G107-#REF!</f>
        <v>#REF!</v>
      </c>
      <c r="J107" s="83"/>
      <c r="K107" s="83"/>
      <c r="L107" s="83"/>
      <c r="M107" s="83"/>
      <c r="N107" s="83"/>
      <c r="O107" s="83"/>
    </row>
    <row r="108" spans="1:16" ht="15.75">
      <c r="A108" s="44">
        <v>2</v>
      </c>
      <c r="B108" s="44">
        <v>2</v>
      </c>
      <c r="C108" s="45">
        <v>9</v>
      </c>
      <c r="D108" s="44">
        <v>2</v>
      </c>
      <c r="E108" s="44">
        <v>1</v>
      </c>
      <c r="F108" s="59" t="s">
        <v>75</v>
      </c>
      <c r="G108" s="61">
        <v>12000</v>
      </c>
      <c r="H108" s="63">
        <f>2066.99+300+175+300+275+175+300+300+30001.5</f>
        <v>33893.49</v>
      </c>
      <c r="I108" s="10" t="e">
        <f>+G108-#REF!</f>
        <v>#REF!</v>
      </c>
      <c r="J108" s="63">
        <f>300+175+145+791.7+400+470+750+475+400+100+265+12823.9+30001.5</f>
        <v>47097.1</v>
      </c>
      <c r="K108" s="63">
        <f>3872+8791+375+245+300+759.85+300+80+475</f>
        <v>15197.85</v>
      </c>
      <c r="L108" s="63">
        <f>9513.6+315+400+315+175+315+1087.28+315+350+385+89680+315+175</f>
        <v>103340.88</v>
      </c>
      <c r="M108" s="63">
        <f>639.8+175+315+310+300+485+475+300+2900</f>
        <v>5899.8</v>
      </c>
      <c r="N108" s="63">
        <f>84075+380+2210+300+300+300+380</f>
        <v>87945</v>
      </c>
      <c r="O108" s="56">
        <f>+H108+J108+K108+L108+M108+N108</f>
        <v>293374.12</v>
      </c>
      <c r="P108" s="165"/>
    </row>
    <row r="109" spans="1:16" ht="15.75">
      <c r="A109" s="44"/>
      <c r="B109" s="44"/>
      <c r="C109" s="45"/>
      <c r="D109" s="44"/>
      <c r="E109" s="44"/>
      <c r="F109" s="59"/>
      <c r="G109" s="61"/>
      <c r="H109" s="63"/>
      <c r="I109" s="10"/>
      <c r="J109" s="63"/>
      <c r="K109" s="63"/>
      <c r="L109" s="63"/>
      <c r="M109" s="63"/>
      <c r="N109" s="63"/>
      <c r="O109" s="63"/>
    </row>
    <row r="110" spans="1:16" ht="16.5" thickBot="1">
      <c r="A110" s="44">
        <v>2</v>
      </c>
      <c r="B110" s="44">
        <v>3</v>
      </c>
      <c r="C110" s="45"/>
      <c r="D110" s="44"/>
      <c r="E110" s="46"/>
      <c r="F110" s="57" t="s">
        <v>76</v>
      </c>
      <c r="G110" s="48">
        <f>G111+G115+G118+G124+G128+G136</f>
        <v>729304</v>
      </c>
      <c r="H110" s="115">
        <f>H111+H115+H118+H124+H128+H136</f>
        <v>85512.01</v>
      </c>
      <c r="I110" s="115" t="e">
        <f t="shared" ref="I110:O110" si="29">I111+I115+I118+I124+I128+I136</f>
        <v>#REF!</v>
      </c>
      <c r="J110" s="115">
        <f t="shared" si="29"/>
        <v>77786.3</v>
      </c>
      <c r="K110" s="115">
        <f t="shared" si="29"/>
        <v>60480</v>
      </c>
      <c r="L110" s="115">
        <f t="shared" si="29"/>
        <v>127356.73999999999</v>
      </c>
      <c r="M110" s="115">
        <f t="shared" si="29"/>
        <v>91216.950000000012</v>
      </c>
      <c r="N110" s="115">
        <f t="shared" si="29"/>
        <v>747.85</v>
      </c>
      <c r="O110" s="115">
        <f t="shared" si="29"/>
        <v>443099.85</v>
      </c>
      <c r="P110" s="126"/>
    </row>
    <row r="111" spans="1:16" ht="32.25" thickBot="1">
      <c r="A111" s="44">
        <v>2</v>
      </c>
      <c r="B111" s="44">
        <v>3</v>
      </c>
      <c r="C111" s="45">
        <v>1</v>
      </c>
      <c r="D111" s="44"/>
      <c r="E111" s="46"/>
      <c r="F111" s="84" t="s">
        <v>77</v>
      </c>
      <c r="G111" s="65">
        <f t="shared" ref="G111:O111" si="30">G112</f>
        <v>0</v>
      </c>
      <c r="H111" s="66">
        <f t="shared" si="30"/>
        <v>0</v>
      </c>
      <c r="I111" s="13">
        <f t="shared" si="30"/>
        <v>0</v>
      </c>
      <c r="J111" s="66">
        <f t="shared" si="30"/>
        <v>0</v>
      </c>
      <c r="K111" s="66">
        <f t="shared" si="30"/>
        <v>0</v>
      </c>
      <c r="L111" s="66">
        <f t="shared" si="30"/>
        <v>0</v>
      </c>
      <c r="M111" s="66">
        <f t="shared" si="30"/>
        <v>0</v>
      </c>
      <c r="N111" s="66">
        <f t="shared" si="30"/>
        <v>0</v>
      </c>
      <c r="O111" s="66">
        <f t="shared" si="30"/>
        <v>0</v>
      </c>
    </row>
    <row r="112" spans="1:16" ht="31.5">
      <c r="A112" s="44">
        <v>2</v>
      </c>
      <c r="B112" s="44">
        <v>3</v>
      </c>
      <c r="C112" s="45">
        <v>1</v>
      </c>
      <c r="D112" s="44">
        <v>1</v>
      </c>
      <c r="E112" s="46"/>
      <c r="F112" s="85" t="s">
        <v>78</v>
      </c>
      <c r="G112" s="61">
        <f>G113</f>
        <v>0</v>
      </c>
      <c r="H112" s="56"/>
      <c r="I112" s="7"/>
      <c r="J112" s="56"/>
      <c r="K112" s="56"/>
      <c r="L112" s="56"/>
      <c r="M112" s="56"/>
      <c r="N112" s="123"/>
      <c r="O112" s="123">
        <f>+H112+J112+K112+L112+M112+N112</f>
        <v>0</v>
      </c>
    </row>
    <row r="113" spans="1:16" ht="31.5">
      <c r="A113" s="44">
        <v>2</v>
      </c>
      <c r="B113" s="44">
        <v>3</v>
      </c>
      <c r="C113" s="45">
        <v>1</v>
      </c>
      <c r="D113" s="44">
        <v>1</v>
      </c>
      <c r="E113" s="46">
        <v>1</v>
      </c>
      <c r="F113" s="85" t="s">
        <v>78</v>
      </c>
      <c r="G113" s="61"/>
      <c r="H113" s="63">
        <v>0</v>
      </c>
      <c r="I113" s="10">
        <v>0</v>
      </c>
      <c r="J113" s="63">
        <v>0</v>
      </c>
      <c r="K113" s="63"/>
      <c r="L113" s="63"/>
      <c r="M113" s="63"/>
      <c r="N113" s="63"/>
      <c r="O113" s="56">
        <f>+H113+J113+K113+L113+M113+N113</f>
        <v>0</v>
      </c>
    </row>
    <row r="114" spans="1:16" ht="12" customHeight="1">
      <c r="A114" s="44"/>
      <c r="B114" s="44"/>
      <c r="C114" s="45"/>
      <c r="D114" s="44"/>
      <c r="E114" s="46"/>
      <c r="F114" s="84"/>
      <c r="G114" s="61"/>
      <c r="H114" s="63"/>
      <c r="I114" s="10"/>
      <c r="J114" s="63"/>
      <c r="K114" s="63"/>
      <c r="L114" s="63"/>
      <c r="M114" s="63"/>
      <c r="N114" s="63"/>
      <c r="O114" s="63"/>
    </row>
    <row r="115" spans="1:16" ht="12" customHeight="1" thickBot="1">
      <c r="A115" s="44">
        <v>2</v>
      </c>
      <c r="B115" s="44">
        <v>3</v>
      </c>
      <c r="C115" s="45">
        <v>2</v>
      </c>
      <c r="D115" s="44"/>
      <c r="E115" s="46"/>
      <c r="F115" s="84" t="s">
        <v>79</v>
      </c>
      <c r="G115" s="61"/>
      <c r="H115" s="63">
        <f t="shared" ref="H115:O115" si="31">H116</f>
        <v>0</v>
      </c>
      <c r="I115" s="10">
        <f t="shared" si="31"/>
        <v>0</v>
      </c>
      <c r="J115" s="63">
        <f t="shared" si="31"/>
        <v>0</v>
      </c>
      <c r="K115" s="63">
        <f t="shared" si="31"/>
        <v>0</v>
      </c>
      <c r="L115" s="63">
        <f t="shared" si="31"/>
        <v>0</v>
      </c>
      <c r="M115" s="63">
        <f t="shared" si="31"/>
        <v>0</v>
      </c>
      <c r="N115" s="70">
        <f t="shared" si="31"/>
        <v>0</v>
      </c>
      <c r="O115" s="70">
        <f t="shared" si="31"/>
        <v>0</v>
      </c>
    </row>
    <row r="116" spans="1:16" ht="12" customHeight="1">
      <c r="A116" s="44">
        <v>2</v>
      </c>
      <c r="B116" s="44">
        <v>3</v>
      </c>
      <c r="C116" s="45">
        <v>2</v>
      </c>
      <c r="D116" s="44">
        <v>3</v>
      </c>
      <c r="E116" s="46"/>
      <c r="F116" s="85" t="s">
        <v>80</v>
      </c>
      <c r="G116" s="60"/>
      <c r="H116" s="62">
        <v>0</v>
      </c>
      <c r="I116" s="11">
        <v>0</v>
      </c>
      <c r="J116" s="62">
        <v>0</v>
      </c>
      <c r="K116" s="62"/>
      <c r="L116" s="62"/>
      <c r="M116" s="62"/>
      <c r="N116" s="63"/>
      <c r="O116" s="56">
        <f>+H116+J116+K116+L116+M116+N116</f>
        <v>0</v>
      </c>
    </row>
    <row r="117" spans="1:16" s="15" customFormat="1" ht="12" customHeight="1">
      <c r="A117" s="44"/>
      <c r="B117" s="44"/>
      <c r="C117" s="45"/>
      <c r="D117" s="44"/>
      <c r="E117" s="46"/>
      <c r="F117" s="84"/>
      <c r="G117" s="61"/>
      <c r="H117" s="56"/>
      <c r="I117" s="7"/>
      <c r="J117" s="56"/>
      <c r="K117" s="56"/>
      <c r="L117" s="56"/>
      <c r="M117" s="56"/>
      <c r="N117" s="56"/>
      <c r="O117" s="56"/>
    </row>
    <row r="118" spans="1:16" ht="32.25" thickBot="1">
      <c r="A118" s="44">
        <v>2</v>
      </c>
      <c r="B118" s="68">
        <v>3</v>
      </c>
      <c r="C118" s="69">
        <v>3</v>
      </c>
      <c r="D118" s="46"/>
      <c r="E118" s="46"/>
      <c r="F118" s="57" t="s">
        <v>81</v>
      </c>
      <c r="G118" s="48">
        <f t="shared" ref="G118:O118" si="32">G119+G120+G121+G122</f>
        <v>101500</v>
      </c>
      <c r="H118" s="58">
        <f t="shared" si="32"/>
        <v>0</v>
      </c>
      <c r="I118" s="8" t="e">
        <f t="shared" si="32"/>
        <v>#REF!</v>
      </c>
      <c r="J118" s="58">
        <f t="shared" si="32"/>
        <v>708</v>
      </c>
      <c r="K118" s="58">
        <f t="shared" si="32"/>
        <v>0</v>
      </c>
      <c r="L118" s="58">
        <f t="shared" si="32"/>
        <v>0</v>
      </c>
      <c r="M118" s="58">
        <f t="shared" si="32"/>
        <v>0</v>
      </c>
      <c r="N118" s="58">
        <f t="shared" si="32"/>
        <v>0</v>
      </c>
      <c r="O118" s="58">
        <f t="shared" si="32"/>
        <v>708</v>
      </c>
    </row>
    <row r="119" spans="1:16" ht="15.75">
      <c r="A119" s="44">
        <v>2</v>
      </c>
      <c r="B119" s="44">
        <v>3</v>
      </c>
      <c r="C119" s="45">
        <v>3</v>
      </c>
      <c r="D119" s="44">
        <v>1</v>
      </c>
      <c r="E119" s="44"/>
      <c r="F119" s="80" t="s">
        <v>82</v>
      </c>
      <c r="G119" s="60">
        <v>68000</v>
      </c>
      <c r="H119" s="62"/>
      <c r="I119" s="10" t="e">
        <f>+G119-#REF!</f>
        <v>#REF!</v>
      </c>
      <c r="J119" s="62"/>
      <c r="K119" s="62"/>
      <c r="L119" s="62"/>
      <c r="M119" s="62"/>
      <c r="N119" s="124"/>
      <c r="O119" s="56">
        <f>+H119+J119+K119+L119+M119+N119</f>
        <v>0</v>
      </c>
    </row>
    <row r="120" spans="1:16" ht="15.75">
      <c r="A120" s="44">
        <v>2</v>
      </c>
      <c r="B120" s="44">
        <v>3</v>
      </c>
      <c r="C120" s="45">
        <v>3</v>
      </c>
      <c r="D120" s="44">
        <v>2</v>
      </c>
      <c r="E120" s="44"/>
      <c r="F120" s="80" t="s">
        <v>83</v>
      </c>
      <c r="G120" s="61">
        <v>23000</v>
      </c>
      <c r="H120" s="63">
        <v>0</v>
      </c>
      <c r="I120" s="10" t="e">
        <f>+G120-#REF!</f>
        <v>#REF!</v>
      </c>
      <c r="J120" s="63">
        <v>0</v>
      </c>
      <c r="K120" s="63"/>
      <c r="L120" s="63"/>
      <c r="M120" s="63"/>
      <c r="N120" s="124"/>
      <c r="O120" s="56">
        <f>+H120+J120+K120+L120+M120+N120</f>
        <v>0</v>
      </c>
    </row>
    <row r="121" spans="1:16" ht="15.75">
      <c r="A121" s="44">
        <v>2</v>
      </c>
      <c r="B121" s="44">
        <v>3</v>
      </c>
      <c r="C121" s="45">
        <v>3</v>
      </c>
      <c r="D121" s="44">
        <v>3</v>
      </c>
      <c r="E121" s="44"/>
      <c r="F121" s="80" t="s">
        <v>84</v>
      </c>
      <c r="G121" s="61">
        <v>0</v>
      </c>
      <c r="H121" s="63">
        <v>0</v>
      </c>
      <c r="I121" s="10">
        <v>0</v>
      </c>
      <c r="J121" s="63">
        <v>708</v>
      </c>
      <c r="K121" s="63"/>
      <c r="L121" s="63"/>
      <c r="M121" s="63"/>
      <c r="N121" s="124"/>
      <c r="O121" s="56">
        <f>+H121+J121+K121+L121+M121+N121</f>
        <v>708</v>
      </c>
    </row>
    <row r="122" spans="1:16" ht="15.75">
      <c r="A122" s="44">
        <v>2</v>
      </c>
      <c r="B122" s="44">
        <v>3</v>
      </c>
      <c r="C122" s="45">
        <v>3</v>
      </c>
      <c r="D122" s="44">
        <v>4</v>
      </c>
      <c r="E122" s="44"/>
      <c r="F122" s="80" t="s">
        <v>85</v>
      </c>
      <c r="G122" s="61">
        <v>10500</v>
      </c>
      <c r="H122" s="63"/>
      <c r="I122" s="10" t="e">
        <f>+G122-#REF!</f>
        <v>#REF!</v>
      </c>
      <c r="J122" s="63"/>
      <c r="K122" s="63"/>
      <c r="L122" s="63"/>
      <c r="M122" s="63"/>
      <c r="N122" s="124"/>
      <c r="O122" s="63">
        <f>+H122+J122+K122+L122+M122+N122</f>
        <v>0</v>
      </c>
    </row>
    <row r="123" spans="1:16" s="24" customFormat="1" ht="16.5" thickBot="1">
      <c r="A123" s="44"/>
      <c r="B123" s="44"/>
      <c r="C123" s="45"/>
      <c r="D123" s="44"/>
      <c r="E123" s="44"/>
      <c r="F123" s="80"/>
      <c r="G123" s="61"/>
      <c r="H123" s="63"/>
      <c r="I123" s="10"/>
      <c r="J123" s="63"/>
      <c r="K123" s="63"/>
      <c r="L123" s="63"/>
      <c r="M123" s="63"/>
      <c r="N123" s="124"/>
      <c r="O123" s="56">
        <f>+H123+J123+K123+L123+M123+N123</f>
        <v>0</v>
      </c>
    </row>
    <row r="124" spans="1:16" s="24" customFormat="1" ht="32.25" thickBot="1">
      <c r="A124" s="46">
        <v>2</v>
      </c>
      <c r="B124" s="46">
        <v>3</v>
      </c>
      <c r="C124" s="86">
        <v>7</v>
      </c>
      <c r="D124" s="46"/>
      <c r="E124" s="46"/>
      <c r="F124" s="81" t="s">
        <v>86</v>
      </c>
      <c r="G124" s="48">
        <f t="shared" ref="G124:O125" si="33">G125</f>
        <v>300000</v>
      </c>
      <c r="H124" s="70">
        <f t="shared" si="33"/>
        <v>0</v>
      </c>
      <c r="I124" s="14" t="e">
        <f t="shared" si="33"/>
        <v>#REF!</v>
      </c>
      <c r="J124" s="70">
        <f t="shared" si="33"/>
        <v>0</v>
      </c>
      <c r="K124" s="70">
        <f t="shared" si="33"/>
        <v>60000</v>
      </c>
      <c r="L124" s="70">
        <f t="shared" si="33"/>
        <v>0</v>
      </c>
      <c r="M124" s="70">
        <f t="shared" si="33"/>
        <v>0</v>
      </c>
      <c r="N124" s="70">
        <f t="shared" si="33"/>
        <v>0</v>
      </c>
      <c r="O124" s="70">
        <f t="shared" si="33"/>
        <v>60000</v>
      </c>
    </row>
    <row r="125" spans="1:16" s="25" customFormat="1" ht="16.5" thickBot="1">
      <c r="A125" s="46">
        <v>2</v>
      </c>
      <c r="B125" s="46">
        <v>3</v>
      </c>
      <c r="C125" s="86">
        <v>7</v>
      </c>
      <c r="D125" s="46">
        <v>1</v>
      </c>
      <c r="E125" s="46"/>
      <c r="F125" s="81" t="s">
        <v>87</v>
      </c>
      <c r="G125" s="48">
        <f t="shared" si="33"/>
        <v>300000</v>
      </c>
      <c r="H125" s="51">
        <f t="shared" si="33"/>
        <v>0</v>
      </c>
      <c r="I125" s="14" t="e">
        <f>I126</f>
        <v>#REF!</v>
      </c>
      <c r="J125" s="51">
        <f t="shared" si="33"/>
        <v>0</v>
      </c>
      <c r="K125" s="51">
        <f t="shared" si="33"/>
        <v>60000</v>
      </c>
      <c r="L125" s="51">
        <f t="shared" si="33"/>
        <v>0</v>
      </c>
      <c r="M125" s="51">
        <f t="shared" si="33"/>
        <v>0</v>
      </c>
      <c r="N125" s="51">
        <f t="shared" si="33"/>
        <v>0</v>
      </c>
      <c r="O125" s="51">
        <f t="shared" si="33"/>
        <v>60000</v>
      </c>
    </row>
    <row r="126" spans="1:16" ht="15.75">
      <c r="A126" s="72">
        <v>2</v>
      </c>
      <c r="B126" s="72">
        <v>3</v>
      </c>
      <c r="C126" s="87">
        <v>7</v>
      </c>
      <c r="D126" s="72">
        <v>1</v>
      </c>
      <c r="E126" s="72">
        <v>1</v>
      </c>
      <c r="F126" s="59" t="s">
        <v>88</v>
      </c>
      <c r="G126" s="61">
        <v>300000</v>
      </c>
      <c r="H126" s="62"/>
      <c r="I126" s="11" t="e">
        <f>+G126-#REF!</f>
        <v>#REF!</v>
      </c>
      <c r="J126" s="62"/>
      <c r="K126" s="62">
        <v>60000</v>
      </c>
      <c r="L126" s="62"/>
      <c r="M126" s="62"/>
      <c r="N126" s="63"/>
      <c r="O126" s="56">
        <f>+H126+J126+K126+L126+M126+N126</f>
        <v>60000</v>
      </c>
    </row>
    <row r="127" spans="1:16" ht="15.75">
      <c r="A127" s="44"/>
      <c r="B127" s="44"/>
      <c r="C127" s="45"/>
      <c r="D127" s="44"/>
      <c r="E127" s="44"/>
      <c r="F127" s="59"/>
      <c r="G127" s="61"/>
      <c r="H127" s="63"/>
      <c r="I127" s="10"/>
      <c r="J127" s="63"/>
      <c r="K127" s="63"/>
      <c r="L127" s="63"/>
      <c r="M127" s="63"/>
      <c r="N127" s="63"/>
      <c r="O127" s="63"/>
    </row>
    <row r="128" spans="1:16" ht="16.5" thickBot="1">
      <c r="A128" s="44">
        <v>2</v>
      </c>
      <c r="B128" s="44">
        <v>3</v>
      </c>
      <c r="C128" s="45">
        <v>9</v>
      </c>
      <c r="D128" s="44"/>
      <c r="E128" s="46"/>
      <c r="F128" s="57" t="s">
        <v>89</v>
      </c>
      <c r="G128" s="82">
        <f>SUM(G129:G133)</f>
        <v>327804</v>
      </c>
      <c r="H128" s="82">
        <f t="shared" ref="H128:O128" si="34">SUM(H129:H133)</f>
        <v>85512.01</v>
      </c>
      <c r="I128" s="82" t="e">
        <f t="shared" si="34"/>
        <v>#REF!</v>
      </c>
      <c r="J128" s="119">
        <f t="shared" si="34"/>
        <v>77078.3</v>
      </c>
      <c r="K128" s="119">
        <f t="shared" si="34"/>
        <v>480</v>
      </c>
      <c r="L128" s="119">
        <f t="shared" si="34"/>
        <v>116541.09999999999</v>
      </c>
      <c r="M128" s="119">
        <f t="shared" si="34"/>
        <v>91216.950000000012</v>
      </c>
      <c r="N128" s="119">
        <f t="shared" si="34"/>
        <v>747.85</v>
      </c>
      <c r="O128" s="119">
        <f t="shared" si="34"/>
        <v>371576.20999999996</v>
      </c>
      <c r="P128" s="165"/>
    </row>
    <row r="129" spans="1:16" ht="15.75">
      <c r="A129" s="44">
        <v>2</v>
      </c>
      <c r="B129" s="44">
        <v>3</v>
      </c>
      <c r="C129" s="45">
        <v>9</v>
      </c>
      <c r="D129" s="44">
        <v>1</v>
      </c>
      <c r="E129" s="44"/>
      <c r="F129" s="59" t="s">
        <v>90</v>
      </c>
      <c r="G129" s="60">
        <v>8000</v>
      </c>
      <c r="H129" s="63"/>
      <c r="I129" s="10" t="e">
        <f>+G129-#REF!</f>
        <v>#REF!</v>
      </c>
      <c r="J129" s="63">
        <v>50</v>
      </c>
      <c r="K129" s="63"/>
      <c r="L129" s="63">
        <v>120</v>
      </c>
      <c r="M129" s="63"/>
      <c r="N129" s="63"/>
      <c r="O129" s="56">
        <f>+H129+J129+K129+L129+M129+N129</f>
        <v>170</v>
      </c>
    </row>
    <row r="130" spans="1:16" ht="31.5">
      <c r="A130" s="44">
        <v>2</v>
      </c>
      <c r="B130" s="44">
        <v>3</v>
      </c>
      <c r="C130" s="45">
        <v>9</v>
      </c>
      <c r="D130" s="44">
        <v>2</v>
      </c>
      <c r="E130" s="44"/>
      <c r="F130" s="59" t="s">
        <v>91</v>
      </c>
      <c r="G130" s="61">
        <v>195000</v>
      </c>
      <c r="H130" s="63">
        <v>79914.009999999995</v>
      </c>
      <c r="I130" s="10" t="e">
        <f>+G130-#REF!</f>
        <v>#REF!</v>
      </c>
      <c r="J130" s="63">
        <f>22495.78+8966.17+9109.6</f>
        <v>40571.549999999996</v>
      </c>
      <c r="K130" s="63"/>
      <c r="L130" s="63">
        <v>110424.4</v>
      </c>
      <c r="M130" s="63">
        <f>19857.64+41206.78+450</f>
        <v>61514.42</v>
      </c>
      <c r="N130" s="63"/>
      <c r="O130" s="56">
        <f>+H130+J130+K130+L130+M130+N130</f>
        <v>292424.38</v>
      </c>
      <c r="P130" s="165"/>
    </row>
    <row r="131" spans="1:16" ht="15.75">
      <c r="A131" s="44">
        <v>2</v>
      </c>
      <c r="B131" s="72">
        <v>3</v>
      </c>
      <c r="C131" s="72">
        <v>9</v>
      </c>
      <c r="D131" s="44">
        <v>5</v>
      </c>
      <c r="E131" s="44"/>
      <c r="F131" s="88" t="s">
        <v>92</v>
      </c>
      <c r="G131" s="61">
        <v>10000</v>
      </c>
      <c r="H131" s="63"/>
      <c r="I131" s="10" t="e">
        <f>+G131-#REF!</f>
        <v>#REF!</v>
      </c>
      <c r="J131" s="63">
        <f>258.9+29108.9</f>
        <v>29367.800000000003</v>
      </c>
      <c r="K131" s="63"/>
      <c r="L131" s="63"/>
      <c r="M131" s="63">
        <v>29213.68</v>
      </c>
      <c r="N131" s="63"/>
      <c r="O131" s="56">
        <f>+H131+J131+K131+L131+M131+N131</f>
        <v>58581.48</v>
      </c>
      <c r="P131" s="165"/>
    </row>
    <row r="132" spans="1:16" ht="31.5">
      <c r="A132" s="44">
        <v>2</v>
      </c>
      <c r="B132" s="44">
        <v>3</v>
      </c>
      <c r="C132" s="45">
        <v>9</v>
      </c>
      <c r="D132" s="44">
        <v>8</v>
      </c>
      <c r="E132" s="44"/>
      <c r="F132" s="85" t="s">
        <v>93</v>
      </c>
      <c r="G132" s="61">
        <v>20000</v>
      </c>
      <c r="H132" s="63">
        <v>2600</v>
      </c>
      <c r="I132" s="10" t="e">
        <f>+G132-#REF!</f>
        <v>#REF!</v>
      </c>
      <c r="J132" s="63"/>
      <c r="K132" s="63"/>
      <c r="L132" s="63"/>
      <c r="M132" s="63"/>
      <c r="N132" s="63"/>
      <c r="O132" s="56">
        <f>+H132+J132+K132+L132+M132+N132</f>
        <v>2600</v>
      </c>
      <c r="P132" s="165"/>
    </row>
    <row r="133" spans="1:16" ht="15.75">
      <c r="A133" s="44">
        <v>2</v>
      </c>
      <c r="B133" s="44">
        <v>3</v>
      </c>
      <c r="C133" s="45">
        <v>9</v>
      </c>
      <c r="D133" s="44">
        <v>9</v>
      </c>
      <c r="E133" s="44"/>
      <c r="F133" s="85" t="s">
        <v>94</v>
      </c>
      <c r="G133" s="61">
        <v>94804</v>
      </c>
      <c r="H133" s="63">
        <f>100+100+100+100+100+195+1200+1103</f>
        <v>2998</v>
      </c>
      <c r="I133" s="10" t="e">
        <f>+G133-#REF!</f>
        <v>#REF!</v>
      </c>
      <c r="J133" s="63">
        <f>6830+258.95</f>
        <v>7088.95</v>
      </c>
      <c r="K133" s="63">
        <v>480</v>
      </c>
      <c r="L133" s="63">
        <f>3957+517.9+560+143.95+817.85</f>
        <v>5996.7</v>
      </c>
      <c r="M133" s="63">
        <f>488.85</f>
        <v>488.85</v>
      </c>
      <c r="N133" s="63">
        <v>747.85</v>
      </c>
      <c r="O133" s="56">
        <f>+H133+J133+K133+L133+M133+N133</f>
        <v>17800.349999999999</v>
      </c>
      <c r="P133" s="165"/>
    </row>
    <row r="134" spans="1:16" ht="15.75">
      <c r="A134" s="44">
        <v>2</v>
      </c>
      <c r="B134" s="44">
        <v>3</v>
      </c>
      <c r="C134" s="45">
        <v>9</v>
      </c>
      <c r="D134" s="44">
        <v>9</v>
      </c>
      <c r="E134" s="44">
        <v>2</v>
      </c>
      <c r="F134" s="85" t="s">
        <v>95</v>
      </c>
      <c r="G134" s="61"/>
      <c r="H134" s="63">
        <v>0</v>
      </c>
      <c r="I134" s="10">
        <v>0</v>
      </c>
      <c r="J134" s="63">
        <v>0</v>
      </c>
      <c r="K134" s="63"/>
      <c r="L134" s="63"/>
      <c r="M134" s="63"/>
      <c r="N134" s="63"/>
      <c r="O134" s="56">
        <f t="shared" ref="O134" si="35">+H134+J134+K134+L134+M134+N134</f>
        <v>0</v>
      </c>
    </row>
    <row r="135" spans="1:16" ht="15.75">
      <c r="A135" s="44"/>
      <c r="B135" s="44"/>
      <c r="C135" s="45"/>
      <c r="D135" s="44"/>
      <c r="E135" s="44"/>
      <c r="F135" s="59"/>
      <c r="G135" s="61"/>
      <c r="H135" s="63"/>
      <c r="I135" s="10"/>
      <c r="J135" s="63"/>
      <c r="K135" s="63"/>
      <c r="L135" s="63"/>
      <c r="M135" s="63"/>
      <c r="N135" s="63"/>
      <c r="O135" s="63"/>
    </row>
    <row r="136" spans="1:16" ht="32.25" thickBot="1">
      <c r="A136" s="44">
        <v>2</v>
      </c>
      <c r="B136" s="44">
        <v>6</v>
      </c>
      <c r="C136" s="45"/>
      <c r="D136" s="44"/>
      <c r="E136" s="46"/>
      <c r="F136" s="57" t="s">
        <v>96</v>
      </c>
      <c r="G136" s="49">
        <f>G137+G145+G149</f>
        <v>0</v>
      </c>
      <c r="H136" s="49">
        <f t="shared" ref="H136:O136" si="36">H137+H145+H149</f>
        <v>0</v>
      </c>
      <c r="I136" s="4" t="e">
        <f t="shared" ref="I136" si="37">I137+I145+I149+I138</f>
        <v>#REF!</v>
      </c>
      <c r="J136" s="49">
        <f t="shared" si="36"/>
        <v>0</v>
      </c>
      <c r="K136" s="49">
        <f t="shared" si="36"/>
        <v>0</v>
      </c>
      <c r="L136" s="49">
        <f t="shared" si="36"/>
        <v>10815.64</v>
      </c>
      <c r="M136" s="49">
        <f t="shared" si="36"/>
        <v>0</v>
      </c>
      <c r="N136" s="49">
        <f t="shared" si="36"/>
        <v>0</v>
      </c>
      <c r="O136" s="49">
        <f t="shared" si="36"/>
        <v>10815.64</v>
      </c>
      <c r="P136" s="165"/>
    </row>
    <row r="137" spans="1:16" ht="16.5" thickBot="1">
      <c r="A137" s="44">
        <v>2</v>
      </c>
      <c r="B137" s="44">
        <v>6</v>
      </c>
      <c r="C137" s="45">
        <v>1</v>
      </c>
      <c r="D137" s="44"/>
      <c r="E137" s="72"/>
      <c r="F137" s="81" t="s">
        <v>97</v>
      </c>
      <c r="G137" s="50">
        <f>G139+G140+G141+G143+G144</f>
        <v>0</v>
      </c>
      <c r="H137" s="120">
        <f t="shared" ref="H137:O137" si="38">+H138+H139+H140+H141+H142+H143</f>
        <v>0</v>
      </c>
      <c r="I137" s="5">
        <f t="shared" ref="H137:I138" si="39">I139+I140+I141+I143+I144</f>
        <v>0</v>
      </c>
      <c r="J137" s="120">
        <f t="shared" si="38"/>
        <v>0</v>
      </c>
      <c r="K137" s="120">
        <f t="shared" si="38"/>
        <v>0</v>
      </c>
      <c r="L137" s="120">
        <f t="shared" si="38"/>
        <v>10815.64</v>
      </c>
      <c r="M137" s="120">
        <f t="shared" si="38"/>
        <v>0</v>
      </c>
      <c r="N137" s="120">
        <f t="shared" si="38"/>
        <v>0</v>
      </c>
      <c r="O137" s="120">
        <f t="shared" si="38"/>
        <v>10815.64</v>
      </c>
    </row>
    <row r="138" spans="1:16" ht="16.5" thickBot="1">
      <c r="A138" s="44">
        <v>2</v>
      </c>
      <c r="B138" s="44">
        <v>6</v>
      </c>
      <c r="C138" s="45">
        <v>8</v>
      </c>
      <c r="D138" s="44">
        <v>8</v>
      </c>
      <c r="E138" s="72"/>
      <c r="F138" s="89" t="s">
        <v>98</v>
      </c>
      <c r="G138" s="61">
        <f>G140+G141+G142+G144+G145</f>
        <v>0</v>
      </c>
      <c r="H138" s="77">
        <f t="shared" si="39"/>
        <v>0</v>
      </c>
      <c r="I138" s="5" t="e">
        <f>+G138-#REF!</f>
        <v>#REF!</v>
      </c>
      <c r="J138" s="77">
        <f t="shared" ref="J138:K138" si="40">J140+J141+J142+J144+J145</f>
        <v>0</v>
      </c>
      <c r="K138" s="77">
        <f t="shared" si="40"/>
        <v>0</v>
      </c>
      <c r="L138" s="77"/>
      <c r="M138" s="77"/>
      <c r="N138" s="166"/>
      <c r="O138" s="56">
        <f>+H138+J138+K138+L138+M138+N138</f>
        <v>0</v>
      </c>
    </row>
    <row r="139" spans="1:16" ht="31.5">
      <c r="A139" s="44">
        <v>2</v>
      </c>
      <c r="B139" s="44">
        <v>6</v>
      </c>
      <c r="C139" s="45">
        <v>1</v>
      </c>
      <c r="D139" s="44">
        <v>1</v>
      </c>
      <c r="E139" s="72"/>
      <c r="F139" s="80" t="s">
        <v>99</v>
      </c>
      <c r="G139" s="61"/>
      <c r="H139" s="63"/>
      <c r="I139" s="11"/>
      <c r="J139" s="63"/>
      <c r="K139" s="63"/>
      <c r="L139" s="63">
        <v>10815.64</v>
      </c>
      <c r="M139" s="63"/>
      <c r="N139" s="124"/>
      <c r="O139" s="56">
        <f>+H139+J139+K139+L139+M139+N139</f>
        <v>10815.64</v>
      </c>
      <c r="P139" s="165"/>
    </row>
    <row r="140" spans="1:16" ht="15.75">
      <c r="A140" s="44">
        <v>2</v>
      </c>
      <c r="B140" s="44">
        <v>6</v>
      </c>
      <c r="C140" s="45">
        <v>1</v>
      </c>
      <c r="D140" s="44">
        <v>4</v>
      </c>
      <c r="E140" s="72"/>
      <c r="F140" s="80" t="s">
        <v>100</v>
      </c>
      <c r="G140" s="61"/>
      <c r="H140" s="63"/>
      <c r="I140" s="10"/>
      <c r="J140" s="63"/>
      <c r="K140" s="63"/>
      <c r="L140" s="63"/>
      <c r="M140" s="63"/>
      <c r="N140" s="124"/>
      <c r="O140" s="56">
        <f>+H140+J140+K140+L140+M140+N140</f>
        <v>0</v>
      </c>
    </row>
    <row r="141" spans="1:16" ht="15.75">
      <c r="A141" s="44">
        <v>2</v>
      </c>
      <c r="B141" s="44">
        <v>6</v>
      </c>
      <c r="C141" s="45">
        <v>1</v>
      </c>
      <c r="D141" s="44">
        <v>7</v>
      </c>
      <c r="E141" s="72"/>
      <c r="F141" s="80" t="s">
        <v>101</v>
      </c>
      <c r="G141" s="61"/>
      <c r="H141" s="63">
        <v>0</v>
      </c>
      <c r="I141" s="10">
        <v>0</v>
      </c>
      <c r="J141" s="63">
        <v>0</v>
      </c>
      <c r="K141" s="63"/>
      <c r="L141" s="63"/>
      <c r="M141" s="63"/>
      <c r="N141" s="124"/>
      <c r="O141" s="56">
        <f t="shared" ref="O141:O144" si="41">+H141+J141+K141+L141+M141+N141</f>
        <v>0</v>
      </c>
    </row>
    <row r="142" spans="1:16" ht="15.75">
      <c r="A142" s="44">
        <v>2</v>
      </c>
      <c r="B142" s="44">
        <v>6</v>
      </c>
      <c r="C142" s="45">
        <v>1</v>
      </c>
      <c r="D142" s="44">
        <v>8</v>
      </c>
      <c r="E142" s="72"/>
      <c r="F142" s="80" t="s">
        <v>102</v>
      </c>
      <c r="G142" s="61"/>
      <c r="H142" s="63"/>
      <c r="I142" s="10"/>
      <c r="J142" s="63"/>
      <c r="K142" s="63"/>
      <c r="L142" s="63"/>
      <c r="M142" s="63"/>
      <c r="N142" s="124"/>
      <c r="O142" s="56">
        <f t="shared" si="41"/>
        <v>0</v>
      </c>
    </row>
    <row r="143" spans="1:16" ht="31.5">
      <c r="A143" s="44">
        <v>2</v>
      </c>
      <c r="B143" s="44">
        <v>6</v>
      </c>
      <c r="C143" s="45">
        <v>1</v>
      </c>
      <c r="D143" s="44">
        <v>9</v>
      </c>
      <c r="E143" s="72"/>
      <c r="F143" s="80" t="s">
        <v>103</v>
      </c>
      <c r="G143" s="61"/>
      <c r="H143" s="63"/>
      <c r="I143" s="10"/>
      <c r="J143" s="63"/>
      <c r="K143" s="63"/>
      <c r="L143" s="63"/>
      <c r="M143" s="63"/>
      <c r="N143" s="124"/>
      <c r="O143" s="56">
        <f t="shared" si="41"/>
        <v>0</v>
      </c>
      <c r="P143" s="165"/>
    </row>
    <row r="144" spans="1:16" ht="15.75">
      <c r="A144" s="44"/>
      <c r="B144" s="44"/>
      <c r="C144" s="45"/>
      <c r="D144" s="44"/>
      <c r="E144" s="46"/>
      <c r="F144" s="81"/>
      <c r="G144" s="78"/>
      <c r="H144" s="49"/>
      <c r="I144" s="4">
        <f>+G144</f>
        <v>0</v>
      </c>
      <c r="J144" s="49"/>
      <c r="K144" s="49"/>
      <c r="L144" s="49"/>
      <c r="M144" s="49"/>
      <c r="N144" s="125"/>
      <c r="O144" s="56">
        <f t="shared" si="41"/>
        <v>0</v>
      </c>
    </row>
    <row r="145" spans="1:34" ht="32.25" thickBot="1">
      <c r="A145" s="44">
        <v>2</v>
      </c>
      <c r="B145" s="44">
        <v>6</v>
      </c>
      <c r="C145" s="45">
        <v>2</v>
      </c>
      <c r="D145" s="44"/>
      <c r="E145" s="46"/>
      <c r="F145" s="81" t="s">
        <v>104</v>
      </c>
      <c r="G145" s="48">
        <f t="shared" ref="G145:O145" si="42">G146+G147</f>
        <v>0</v>
      </c>
      <c r="H145" s="70">
        <f t="shared" si="42"/>
        <v>0</v>
      </c>
      <c r="I145" s="16" t="e">
        <f t="shared" si="42"/>
        <v>#REF!</v>
      </c>
      <c r="J145" s="70">
        <f t="shared" si="42"/>
        <v>0</v>
      </c>
      <c r="K145" s="70">
        <f t="shared" si="42"/>
        <v>0</v>
      </c>
      <c r="L145" s="70">
        <f t="shared" si="42"/>
        <v>0</v>
      </c>
      <c r="M145" s="70">
        <f t="shared" si="42"/>
        <v>0</v>
      </c>
      <c r="N145" s="70">
        <f t="shared" si="42"/>
        <v>0</v>
      </c>
      <c r="O145" s="63">
        <f t="shared" si="42"/>
        <v>0</v>
      </c>
    </row>
    <row r="146" spans="1:34" ht="31.5">
      <c r="A146" s="44">
        <v>2</v>
      </c>
      <c r="B146" s="44">
        <v>6</v>
      </c>
      <c r="C146" s="45">
        <v>2</v>
      </c>
      <c r="D146" s="44">
        <v>1</v>
      </c>
      <c r="E146" s="72"/>
      <c r="F146" s="59" t="s">
        <v>105</v>
      </c>
      <c r="G146" s="61"/>
      <c r="H146" s="63">
        <v>0</v>
      </c>
      <c r="I146" s="10">
        <v>0</v>
      </c>
      <c r="J146" s="63">
        <v>0</v>
      </c>
      <c r="K146" s="63"/>
      <c r="L146" s="63"/>
      <c r="M146" s="124"/>
      <c r="N146" s="62"/>
      <c r="O146" s="123">
        <f>+H146+J146+K146+L146+M146+N146</f>
        <v>0</v>
      </c>
    </row>
    <row r="147" spans="1:34" ht="15.75">
      <c r="A147" s="44">
        <v>2</v>
      </c>
      <c r="B147" s="44">
        <v>6</v>
      </c>
      <c r="C147" s="45">
        <v>2</v>
      </c>
      <c r="D147" s="44">
        <v>3</v>
      </c>
      <c r="E147" s="72"/>
      <c r="F147" s="59" t="s">
        <v>106</v>
      </c>
      <c r="G147" s="61"/>
      <c r="H147" s="63">
        <f>G147*12</f>
        <v>0</v>
      </c>
      <c r="I147" s="10" t="e">
        <f>+G147-#REF!</f>
        <v>#REF!</v>
      </c>
      <c r="J147" s="63"/>
      <c r="K147" s="63"/>
      <c r="L147" s="63"/>
      <c r="M147" s="124"/>
      <c r="N147" s="63"/>
      <c r="O147" s="56">
        <f>+H147+J147+K147+L147+M147+N147</f>
        <v>0</v>
      </c>
    </row>
    <row r="148" spans="1:34" ht="15.75">
      <c r="A148" s="44"/>
      <c r="B148" s="44"/>
      <c r="C148" s="45"/>
      <c r="D148" s="44"/>
      <c r="E148" s="46"/>
      <c r="F148" s="57"/>
      <c r="G148" s="78"/>
      <c r="H148" s="49"/>
      <c r="I148" s="4"/>
      <c r="J148" s="49"/>
      <c r="K148" s="49"/>
      <c r="L148" s="49"/>
      <c r="M148" s="125"/>
      <c r="N148" s="49"/>
      <c r="O148" s="49"/>
    </row>
    <row r="149" spans="1:34" ht="48" thickBot="1">
      <c r="A149" s="44">
        <v>2</v>
      </c>
      <c r="B149" s="44">
        <v>6</v>
      </c>
      <c r="C149" s="45">
        <v>4</v>
      </c>
      <c r="D149" s="44"/>
      <c r="E149" s="46"/>
      <c r="F149" s="57" t="s">
        <v>107</v>
      </c>
      <c r="G149" s="78">
        <f>G151+G152+G150</f>
        <v>0</v>
      </c>
      <c r="H149" s="63">
        <f t="shared" ref="H149:O149" si="43">H150+H151</f>
        <v>0</v>
      </c>
      <c r="I149" s="10">
        <f t="shared" si="43"/>
        <v>0</v>
      </c>
      <c r="J149" s="63">
        <f t="shared" si="43"/>
        <v>0</v>
      </c>
      <c r="K149" s="63">
        <f t="shared" si="43"/>
        <v>0</v>
      </c>
      <c r="L149" s="63">
        <f t="shared" si="43"/>
        <v>0</v>
      </c>
      <c r="M149" s="124">
        <f t="shared" si="43"/>
        <v>0</v>
      </c>
      <c r="N149" s="70">
        <f t="shared" si="43"/>
        <v>0</v>
      </c>
      <c r="O149" s="70">
        <f t="shared" si="43"/>
        <v>0</v>
      </c>
      <c r="P149" s="19"/>
    </row>
    <row r="150" spans="1:34" ht="31.5">
      <c r="A150" s="44">
        <v>2</v>
      </c>
      <c r="B150" s="44">
        <v>6</v>
      </c>
      <c r="C150" s="45">
        <v>4</v>
      </c>
      <c r="D150" s="44"/>
      <c r="E150" s="46"/>
      <c r="F150" s="80" t="s">
        <v>107</v>
      </c>
      <c r="G150" s="53"/>
      <c r="H150" s="62">
        <v>0</v>
      </c>
      <c r="I150" s="11">
        <v>0</v>
      </c>
      <c r="J150" s="62">
        <v>0</v>
      </c>
      <c r="K150" s="62"/>
      <c r="L150" s="62"/>
      <c r="M150" s="62"/>
      <c r="N150" s="63"/>
      <c r="O150" s="56">
        <f>+H150+J150+K150+L150+M150+N150</f>
        <v>0</v>
      </c>
      <c r="P150" s="19"/>
    </row>
    <row r="151" spans="1:34" ht="15.75">
      <c r="A151" s="44">
        <v>2</v>
      </c>
      <c r="B151" s="44">
        <v>6</v>
      </c>
      <c r="C151" s="45">
        <v>4</v>
      </c>
      <c r="D151" s="44">
        <v>1</v>
      </c>
      <c r="E151" s="44"/>
      <c r="F151" s="80" t="s">
        <v>108</v>
      </c>
      <c r="G151" s="61"/>
      <c r="H151" s="63">
        <v>0</v>
      </c>
      <c r="I151" s="10">
        <v>0</v>
      </c>
      <c r="J151" s="63">
        <v>0</v>
      </c>
      <c r="K151" s="63"/>
      <c r="L151" s="63"/>
      <c r="M151" s="63"/>
      <c r="N151" s="63"/>
      <c r="O151" s="56">
        <f>+H151+J151+K151+L151+M151</f>
        <v>0</v>
      </c>
      <c r="P151" s="19"/>
      <c r="R151" s="9"/>
    </row>
    <row r="152" spans="1:34" ht="15.75">
      <c r="A152" s="44">
        <v>2</v>
      </c>
      <c r="B152" s="44">
        <v>6</v>
      </c>
      <c r="C152" s="45">
        <v>4</v>
      </c>
      <c r="D152" s="44">
        <v>7</v>
      </c>
      <c r="E152" s="44"/>
      <c r="F152" s="80" t="s">
        <v>109</v>
      </c>
      <c r="G152" s="61">
        <v>0</v>
      </c>
      <c r="H152" s="63">
        <v>0</v>
      </c>
      <c r="I152" s="10">
        <v>0</v>
      </c>
      <c r="J152" s="63">
        <v>0</v>
      </c>
      <c r="K152" s="63"/>
      <c r="L152" s="63"/>
      <c r="M152" s="63"/>
      <c r="N152" s="63"/>
      <c r="O152" s="56">
        <f>+H152+J152+K152+L152+M152</f>
        <v>0</v>
      </c>
      <c r="P152" s="19"/>
    </row>
    <row r="153" spans="1:34" ht="16.5" thickBot="1">
      <c r="A153" s="44"/>
      <c r="B153" s="44"/>
      <c r="C153" s="45"/>
      <c r="D153" s="43"/>
      <c r="E153" s="44"/>
      <c r="F153" s="80"/>
      <c r="G153" s="64"/>
      <c r="H153" s="70"/>
      <c r="I153" s="10"/>
      <c r="J153" s="70"/>
      <c r="K153" s="70"/>
      <c r="L153" s="70"/>
      <c r="M153" s="70"/>
      <c r="N153" s="70"/>
      <c r="O153" s="70"/>
      <c r="P153" s="19"/>
    </row>
    <row r="154" spans="1:34" ht="18" thickBot="1">
      <c r="A154" s="90"/>
      <c r="B154" s="90"/>
      <c r="C154" s="91"/>
      <c r="D154" s="92"/>
      <c r="E154" s="92"/>
      <c r="F154" s="93" t="s">
        <v>110</v>
      </c>
      <c r="G154" s="48">
        <f>G110+G48+G12</f>
        <v>42039167</v>
      </c>
      <c r="H154" s="115">
        <f>H110+H48+H12</f>
        <v>3087103.98</v>
      </c>
      <c r="I154" s="115" t="e">
        <f t="shared" ref="I154:O154" si="44">I110+I48+I12</f>
        <v>#REF!</v>
      </c>
      <c r="J154" s="115">
        <f t="shared" si="44"/>
        <v>3272561.4400000004</v>
      </c>
      <c r="K154" s="115">
        <f>K110+K48+K12</f>
        <v>3296314.58</v>
      </c>
      <c r="L154" s="115">
        <f>L110+L48+L12</f>
        <v>3958386.4610000001</v>
      </c>
      <c r="M154" s="115">
        <f>M110+M48+M12</f>
        <v>3698270.74</v>
      </c>
      <c r="N154" s="115">
        <f>N110+N48+N12</f>
        <v>3595808.3900000006</v>
      </c>
      <c r="O154" s="115">
        <f t="shared" si="44"/>
        <v>20908445.590999998</v>
      </c>
      <c r="P154" s="19"/>
      <c r="Q154" s="9"/>
      <c r="R154" s="9"/>
      <c r="U154" s="19"/>
      <c r="Z154" s="195"/>
      <c r="AA154" s="195"/>
      <c r="AC154" s="195"/>
      <c r="AD154" s="195"/>
    </row>
    <row r="155" spans="1:34" ht="17.25">
      <c r="A155" s="94"/>
      <c r="B155" s="94"/>
      <c r="C155" s="37"/>
      <c r="D155" s="37"/>
      <c r="E155" s="37"/>
      <c r="F155" s="37"/>
      <c r="G155" s="95"/>
      <c r="H155" s="96"/>
      <c r="I155" s="1"/>
      <c r="J155" s="19"/>
      <c r="K155" s="19"/>
      <c r="L155" s="19"/>
      <c r="M155" s="19"/>
      <c r="N155" s="19"/>
      <c r="O155" s="19"/>
      <c r="P155" s="127"/>
      <c r="Q155" s="167"/>
      <c r="R155" s="157"/>
      <c r="S155" s="157"/>
      <c r="T155" s="9"/>
      <c r="Z155" s="196"/>
      <c r="AA155" s="196"/>
      <c r="AC155" s="196"/>
      <c r="AD155" s="196"/>
      <c r="AF155" s="9"/>
    </row>
    <row r="156" spans="1:34" ht="18.75">
      <c r="A156" s="94"/>
      <c r="B156" s="94"/>
      <c r="C156" s="37"/>
      <c r="D156" s="37"/>
      <c r="E156" s="97"/>
      <c r="F156" s="98"/>
      <c r="G156" s="95"/>
      <c r="H156" s="99"/>
      <c r="I156" s="27"/>
      <c r="J156" s="19"/>
      <c r="K156" s="19"/>
      <c r="L156" s="19"/>
      <c r="M156" s="19"/>
      <c r="N156" s="19"/>
      <c r="O156" s="19"/>
      <c r="P156" s="128"/>
      <c r="Q156" s="156"/>
      <c r="R156" s="156"/>
      <c r="S156" s="156"/>
      <c r="U156" s="19"/>
    </row>
    <row r="157" spans="1:34" ht="18">
      <c r="A157" s="94"/>
      <c r="B157" s="94"/>
      <c r="C157" s="37"/>
      <c r="D157" s="37"/>
      <c r="E157" s="100"/>
      <c r="F157" s="101"/>
      <c r="G157" s="102"/>
      <c r="H157" s="103"/>
      <c r="I157" s="28"/>
      <c r="J157" s="29"/>
      <c r="K157" s="29"/>
      <c r="L157" s="29"/>
      <c r="M157" s="29"/>
      <c r="N157" s="29"/>
      <c r="O157" s="29"/>
      <c r="P157" s="130"/>
      <c r="Q157" s="168"/>
      <c r="R157" s="9"/>
      <c r="S157" s="9"/>
    </row>
    <row r="158" spans="1:34" ht="19.5" thickBot="1">
      <c r="A158" s="35"/>
      <c r="B158" s="35"/>
      <c r="C158" s="35"/>
      <c r="D158" s="35"/>
      <c r="E158" s="35"/>
      <c r="F158" s="101"/>
      <c r="G158" s="104"/>
      <c r="H158" s="104"/>
      <c r="I158" s="30"/>
      <c r="J158" s="31"/>
      <c r="K158" s="31"/>
      <c r="L158" s="31"/>
      <c r="M158" s="31"/>
      <c r="N158" s="31"/>
      <c r="O158" s="31"/>
      <c r="P158" s="131"/>
      <c r="Q158" s="169"/>
      <c r="R158" s="9"/>
      <c r="AA158" s="15"/>
      <c r="AB158" s="15"/>
      <c r="AC158" s="132"/>
      <c r="AE158" s="133"/>
      <c r="AF158" s="9"/>
    </row>
    <row r="159" spans="1:34" ht="18.75">
      <c r="A159" s="35"/>
      <c r="B159" s="35"/>
      <c r="C159" s="35"/>
      <c r="D159" s="35"/>
      <c r="E159" s="35"/>
      <c r="F159" s="105" t="s">
        <v>111</v>
      </c>
      <c r="G159" s="170"/>
      <c r="H159" s="170"/>
      <c r="I159" s="171"/>
      <c r="J159" s="32"/>
      <c r="K159" s="32"/>
      <c r="L159" s="32"/>
      <c r="M159" s="32"/>
      <c r="N159" s="32"/>
      <c r="O159" s="32"/>
      <c r="P159" s="134"/>
      <c r="Q159" s="172"/>
      <c r="R159" s="132"/>
      <c r="T159" s="19"/>
      <c r="U159" s="132"/>
      <c r="V159" s="135"/>
      <c r="X159" s="133"/>
      <c r="Y159" s="126"/>
      <c r="Z159" s="132"/>
      <c r="AA159" s="133"/>
      <c r="AG159" s="9"/>
    </row>
    <row r="160" spans="1:34" ht="18.75">
      <c r="A160" s="35"/>
      <c r="B160" s="35"/>
      <c r="C160" s="35"/>
      <c r="D160" s="35"/>
      <c r="E160" s="35"/>
      <c r="F160" s="101" t="s">
        <v>112</v>
      </c>
      <c r="G160" s="173"/>
      <c r="H160" s="170"/>
      <c r="I160" s="171"/>
      <c r="J160" s="32"/>
      <c r="K160" s="32"/>
      <c r="L160" s="32"/>
      <c r="M160" s="32"/>
      <c r="N160" s="32"/>
      <c r="O160" s="32"/>
      <c r="P160" s="136"/>
      <c r="Q160" s="174"/>
      <c r="R160" s="135"/>
      <c r="S160" s="9"/>
      <c r="U160" s="9"/>
      <c r="V160" s="9"/>
      <c r="X160" s="1"/>
      <c r="AB160" s="9"/>
      <c r="AC160" s="137"/>
      <c r="AG160" s="9"/>
      <c r="AH160" s="9"/>
    </row>
    <row r="161" spans="1:36" ht="18.75" customHeight="1">
      <c r="A161" s="35"/>
      <c r="B161" s="35"/>
      <c r="C161" s="35"/>
      <c r="D161" s="35"/>
      <c r="E161" s="35"/>
      <c r="F161" s="101"/>
      <c r="G161" s="173"/>
      <c r="H161" s="170"/>
      <c r="I161" s="171"/>
      <c r="J161" s="32"/>
      <c r="K161" s="32"/>
      <c r="L161" s="32"/>
      <c r="M161" s="32"/>
      <c r="N161" s="32"/>
      <c r="O161" s="32"/>
      <c r="P161" s="136"/>
      <c r="Q161" s="175"/>
      <c r="R161" s="9"/>
      <c r="U161" s="9"/>
      <c r="V161" s="9"/>
      <c r="X161" s="1"/>
      <c r="AB161" s="9"/>
      <c r="AC161" s="137"/>
      <c r="AG161" s="9"/>
      <c r="AH161" s="9"/>
    </row>
    <row r="162" spans="1:36" ht="30" customHeight="1">
      <c r="A162" s="35"/>
      <c r="B162" s="35"/>
      <c r="C162" s="35"/>
      <c r="D162" s="35"/>
      <c r="E162" s="35"/>
      <c r="F162" s="101"/>
      <c r="G162" s="170"/>
      <c r="H162" s="170"/>
      <c r="I162" s="171"/>
      <c r="J162" s="32"/>
      <c r="K162" s="32"/>
      <c r="L162" s="32"/>
      <c r="M162" s="32"/>
      <c r="N162" s="32"/>
      <c r="O162" s="32"/>
      <c r="P162" s="136"/>
      <c r="Q162" s="175"/>
      <c r="R162" s="137"/>
      <c r="U162" s="137"/>
      <c r="X162" s="1"/>
      <c r="Z162" s="137"/>
      <c r="AC162" s="139"/>
      <c r="AE162" s="19"/>
      <c r="AF162" s="9"/>
      <c r="AG162" s="9"/>
      <c r="AH162" s="9"/>
    </row>
    <row r="163" spans="1:36" ht="18.75" customHeight="1">
      <c r="A163" s="35"/>
      <c r="B163" s="35"/>
      <c r="C163" s="35"/>
      <c r="D163" s="35"/>
      <c r="E163" s="35"/>
      <c r="F163" s="101"/>
      <c r="G163" s="173"/>
      <c r="H163" s="19"/>
      <c r="I163" s="171"/>
      <c r="J163" s="176"/>
      <c r="K163" s="176"/>
      <c r="L163" s="176"/>
      <c r="M163" s="176"/>
      <c r="N163" s="112"/>
      <c r="O163" s="112"/>
      <c r="P163" s="136"/>
      <c r="Q163" s="177"/>
      <c r="R163" s="139"/>
      <c r="T163" s="19"/>
      <c r="U163" s="139"/>
      <c r="V163" s="19"/>
      <c r="W163" s="19"/>
      <c r="X163" s="19"/>
      <c r="Y163" s="19"/>
      <c r="Z163" s="139"/>
      <c r="AA163" s="19"/>
      <c r="AB163" s="19"/>
      <c r="AC163" s="140"/>
      <c r="AE163" s="19"/>
      <c r="AH163" s="9"/>
    </row>
    <row r="164" spans="1:36" ht="18.75">
      <c r="A164" s="35"/>
      <c r="B164" s="35"/>
      <c r="C164" s="35"/>
      <c r="D164" s="35"/>
      <c r="E164" s="35"/>
      <c r="F164" s="101"/>
      <c r="G164" s="173"/>
      <c r="H164" s="19"/>
      <c r="I164" s="171"/>
      <c r="J164" s="176"/>
      <c r="K164" s="176"/>
      <c r="L164" s="176"/>
      <c r="M164" s="176"/>
      <c r="N164" s="112"/>
      <c r="O164" s="112"/>
      <c r="P164" s="136"/>
      <c r="Q164" s="178"/>
      <c r="R164" s="139"/>
      <c r="T164" s="19"/>
      <c r="U164" s="139"/>
      <c r="V164" s="19"/>
      <c r="W164" s="19"/>
      <c r="X164" s="19"/>
      <c r="Y164" s="19"/>
      <c r="Z164" s="139"/>
      <c r="AA164" s="19"/>
      <c r="AB164" s="19"/>
      <c r="AC164" s="140"/>
      <c r="AE164" s="19"/>
      <c r="AH164" s="9"/>
    </row>
    <row r="165" spans="1:36" ht="18" customHeight="1">
      <c r="A165" s="35"/>
      <c r="B165" s="35"/>
      <c r="C165" s="35"/>
      <c r="D165" s="35"/>
      <c r="E165" s="35"/>
      <c r="F165" s="101"/>
      <c r="G165" s="179"/>
      <c r="H165" s="19"/>
      <c r="I165" s="180"/>
      <c r="J165" s="19"/>
      <c r="K165" s="19"/>
      <c r="L165" s="19"/>
      <c r="M165" s="19"/>
      <c r="N165" s="9"/>
      <c r="O165" s="9"/>
      <c r="P165" s="136"/>
      <c r="Q165" s="181"/>
      <c r="R165" s="182"/>
      <c r="T165" s="9"/>
      <c r="U165" s="139"/>
      <c r="V165" s="19"/>
      <c r="W165" s="19"/>
      <c r="X165" s="19"/>
      <c r="Y165" s="19"/>
      <c r="Z165" s="141"/>
      <c r="AA165" s="19"/>
      <c r="AB165" s="19"/>
      <c r="AC165" s="1"/>
      <c r="AE165" s="19"/>
      <c r="AJ165" s="9"/>
    </row>
    <row r="166" spans="1:36" ht="18.75" thickBot="1">
      <c r="A166" s="35"/>
      <c r="B166" s="35"/>
      <c r="C166" s="35"/>
      <c r="D166" s="35"/>
      <c r="E166" s="35"/>
      <c r="F166" s="106"/>
      <c r="G166" s="179"/>
      <c r="H166" s="19"/>
      <c r="I166" s="180"/>
      <c r="J166" s="19"/>
      <c r="K166" s="19"/>
      <c r="L166" s="19"/>
      <c r="M166" s="19"/>
      <c r="N166" s="19"/>
      <c r="O166" s="19"/>
      <c r="P166" s="134"/>
      <c r="Q166" s="183"/>
      <c r="R166" s="142"/>
      <c r="S166" s="9"/>
      <c r="U166" s="9"/>
      <c r="V166" s="19"/>
      <c r="W166" s="19"/>
      <c r="X166" s="27"/>
      <c r="Y166" s="19"/>
      <c r="AA166" s="19"/>
      <c r="AB166" s="19"/>
      <c r="AC166" s="1"/>
      <c r="AD166" s="9"/>
      <c r="AE166" s="19"/>
      <c r="AG166" s="9"/>
      <c r="AH166" s="9"/>
    </row>
    <row r="167" spans="1:36" ht="18">
      <c r="A167" s="35"/>
      <c r="B167" s="35"/>
      <c r="C167" s="35"/>
      <c r="D167" s="35"/>
      <c r="E167" s="35"/>
      <c r="F167" s="101" t="s">
        <v>113</v>
      </c>
      <c r="G167" s="179"/>
      <c r="H167" s="19"/>
      <c r="I167" s="180"/>
      <c r="J167" s="19"/>
      <c r="K167" s="19"/>
      <c r="L167" s="19"/>
      <c r="M167" s="19"/>
      <c r="N167" s="19"/>
      <c r="O167" s="19"/>
      <c r="P167" s="134"/>
      <c r="Q167" s="184"/>
      <c r="R167" s="142"/>
      <c r="S167" s="9"/>
      <c r="U167" s="9"/>
      <c r="V167" s="19"/>
      <c r="W167" s="19"/>
      <c r="X167" s="27"/>
      <c r="Y167" s="19"/>
      <c r="AA167" s="19"/>
      <c r="AB167" s="19"/>
      <c r="AC167" s="1"/>
      <c r="AD167" s="9"/>
      <c r="AE167" s="19"/>
      <c r="AG167" s="9"/>
      <c r="AH167" s="9"/>
    </row>
    <row r="168" spans="1:36" ht="18">
      <c r="A168" s="35"/>
      <c r="B168" s="35"/>
      <c r="C168" s="35"/>
      <c r="D168" s="35"/>
      <c r="E168" s="35"/>
      <c r="F168" s="101" t="s">
        <v>123</v>
      </c>
      <c r="G168" s="179"/>
      <c r="H168" s="19"/>
      <c r="I168" s="180"/>
      <c r="J168" s="19"/>
      <c r="K168" s="19"/>
      <c r="L168" s="19"/>
      <c r="M168" s="19"/>
      <c r="N168" s="19"/>
      <c r="O168" s="19"/>
      <c r="P168" s="134"/>
      <c r="Q168" s="1"/>
      <c r="R168" s="1"/>
      <c r="S168" s="9"/>
      <c r="U168" s="126"/>
      <c r="V168" s="19"/>
      <c r="W168" s="19"/>
      <c r="X168" s="27"/>
      <c r="Y168" s="19"/>
      <c r="AA168" s="19"/>
      <c r="AB168" s="19"/>
      <c r="AC168" s="9"/>
      <c r="AD168" s="9"/>
      <c r="AE168" s="19"/>
      <c r="AG168" s="9"/>
    </row>
    <row r="169" spans="1:36" ht="18" customHeight="1">
      <c r="A169" s="35"/>
      <c r="B169" s="35"/>
      <c r="C169" s="35"/>
      <c r="D169" s="35"/>
      <c r="E169" s="35"/>
      <c r="F169" s="101"/>
      <c r="G169" s="107"/>
      <c r="H169" s="19"/>
      <c r="I169" s="33"/>
      <c r="J169" s="19"/>
      <c r="K169" s="19"/>
      <c r="L169" s="19"/>
      <c r="M169" s="19"/>
      <c r="N169" s="19"/>
      <c r="O169" s="19"/>
      <c r="P169" s="143"/>
      <c r="Q169" s="181"/>
      <c r="R169" s="9"/>
      <c r="S169" s="9"/>
      <c r="U169" s="9"/>
      <c r="V169" s="19"/>
      <c r="W169" s="19"/>
      <c r="X169" s="142"/>
      <c r="Y169" s="19"/>
      <c r="Z169" s="9"/>
      <c r="AA169" s="19"/>
      <c r="AB169" s="19"/>
      <c r="AC169" s="144"/>
      <c r="AE169" s="145"/>
      <c r="AI169" s="9"/>
    </row>
    <row r="170" spans="1:36" ht="18.75" thickBot="1">
      <c r="A170" s="35"/>
      <c r="B170" s="35"/>
      <c r="C170" s="35"/>
      <c r="D170" s="35"/>
      <c r="E170" s="35"/>
      <c r="F170" s="94"/>
      <c r="G170" s="101"/>
      <c r="H170" s="19"/>
      <c r="I170" s="180"/>
      <c r="J170" s="19"/>
      <c r="K170" s="121"/>
      <c r="L170" s="121"/>
      <c r="M170" s="121"/>
      <c r="N170" s="121"/>
      <c r="O170" s="19"/>
      <c r="P170" s="136"/>
      <c r="Q170" s="121"/>
      <c r="R170" s="144"/>
      <c r="S170" s="9"/>
      <c r="U170" s="144"/>
      <c r="V170" s="145"/>
      <c r="W170" s="19"/>
      <c r="X170" s="185"/>
      <c r="Y170" s="19"/>
      <c r="Z170" s="144"/>
      <c r="AA170" s="145"/>
      <c r="AB170" s="19"/>
      <c r="AC170" s="144"/>
      <c r="AE170" s="186"/>
      <c r="AF170" s="126"/>
      <c r="AG170" s="9"/>
      <c r="AH170" s="9"/>
    </row>
    <row r="171" spans="1:36" ht="19.5" customHeight="1" thickTop="1" thickBot="1">
      <c r="A171" s="35"/>
      <c r="B171" s="35"/>
      <c r="C171" s="35"/>
      <c r="D171" s="35"/>
      <c r="E171" s="35"/>
      <c r="F171" s="94"/>
      <c r="G171" s="101"/>
      <c r="H171" s="187"/>
      <c r="I171" s="180"/>
      <c r="J171" s="19"/>
      <c r="K171" s="168"/>
      <c r="L171" s="168"/>
      <c r="M171" s="168"/>
      <c r="N171" s="138"/>
      <c r="O171" s="19"/>
      <c r="P171" s="136"/>
      <c r="Q171" s="121"/>
      <c r="R171" s="144"/>
      <c r="S171" s="9"/>
      <c r="T171" s="9"/>
      <c r="U171" s="144"/>
      <c r="V171" s="186"/>
      <c r="W171" s="19"/>
      <c r="X171" s="188"/>
      <c r="Y171" s="19"/>
      <c r="Z171" s="144"/>
      <c r="AA171" s="186"/>
      <c r="AB171" s="19"/>
      <c r="AD171" s="9"/>
      <c r="AE171" s="19"/>
      <c r="AF171" s="9"/>
    </row>
    <row r="172" spans="1:36" ht="19.5" customHeight="1" thickTop="1">
      <c r="A172" s="35"/>
      <c r="B172" s="35"/>
      <c r="C172" s="35"/>
      <c r="D172" s="35"/>
      <c r="E172" s="35"/>
      <c r="F172" s="35"/>
      <c r="G172" s="35"/>
      <c r="H172" s="108"/>
      <c r="I172" s="34"/>
      <c r="J172" s="19"/>
      <c r="K172" s="168"/>
      <c r="L172" s="168"/>
      <c r="M172" s="168"/>
      <c r="N172" s="138"/>
      <c r="O172" s="19"/>
      <c r="P172" s="136"/>
      <c r="Q172" s="138"/>
      <c r="S172" s="9"/>
      <c r="V172" s="19"/>
      <c r="W172" s="19"/>
      <c r="X172" s="1"/>
      <c r="Y172" s="19"/>
      <c r="AA172" s="19"/>
      <c r="AB172" s="19"/>
      <c r="AC172" s="146"/>
      <c r="AE172" s="145"/>
      <c r="AF172" s="9"/>
    </row>
    <row r="173" spans="1:36">
      <c r="A173" s="35"/>
      <c r="B173" s="35"/>
      <c r="C173" s="35"/>
      <c r="D173" s="35"/>
      <c r="E173" s="35"/>
      <c r="F173" s="35"/>
      <c r="G173" s="35"/>
      <c r="H173" s="108"/>
      <c r="I173" s="34"/>
      <c r="J173" s="19"/>
      <c r="K173" s="122"/>
      <c r="L173" s="122"/>
      <c r="M173" s="122"/>
      <c r="N173" s="138"/>
      <c r="O173" s="19"/>
      <c r="P173" s="136"/>
      <c r="Q173" s="138"/>
      <c r="R173" s="146"/>
      <c r="U173" s="146"/>
      <c r="V173" s="19"/>
      <c r="W173" s="19"/>
      <c r="X173" s="27"/>
      <c r="Y173" s="19"/>
      <c r="Z173" s="146"/>
      <c r="AA173" s="145"/>
      <c r="AB173" s="19"/>
      <c r="AC173" s="139"/>
      <c r="AE173" s="34"/>
    </row>
    <row r="174" spans="1:36" ht="18" customHeight="1" thickBot="1">
      <c r="A174" s="35"/>
      <c r="B174" s="35"/>
      <c r="C174" s="35"/>
      <c r="D174" s="35"/>
      <c r="E174" s="35"/>
      <c r="F174" s="106"/>
      <c r="G174" s="35"/>
      <c r="H174" s="108"/>
      <c r="I174" s="34"/>
      <c r="J174" s="19"/>
      <c r="K174" s="121"/>
      <c r="L174" s="121"/>
      <c r="M174" s="121"/>
      <c r="N174" s="138"/>
      <c r="O174" s="19"/>
      <c r="P174" s="136"/>
      <c r="Q174" s="138"/>
      <c r="R174" s="139"/>
      <c r="S174" s="181"/>
      <c r="U174" s="139"/>
      <c r="V174" s="19"/>
      <c r="W174" s="19"/>
      <c r="X174" s="19"/>
      <c r="Y174" s="19"/>
      <c r="Z174" s="139"/>
      <c r="AA174" s="34"/>
      <c r="AB174" s="19"/>
      <c r="AC174" s="147"/>
      <c r="AE174" s="34"/>
      <c r="AG174" s="9"/>
    </row>
    <row r="175" spans="1:36" ht="18" customHeight="1">
      <c r="A175" s="35"/>
      <c r="B175" s="35"/>
      <c r="C175" s="35"/>
      <c r="D175" s="35"/>
      <c r="E175" s="35"/>
      <c r="F175" s="101" t="s">
        <v>124</v>
      </c>
      <c r="G175" s="35"/>
      <c r="H175" s="108"/>
      <c r="I175" s="34"/>
      <c r="J175" s="19"/>
      <c r="K175" s="121"/>
      <c r="L175" s="121"/>
      <c r="M175" s="121"/>
      <c r="N175" s="122"/>
      <c r="O175" s="19"/>
      <c r="P175" s="136"/>
      <c r="Q175" s="138"/>
      <c r="R175" s="139"/>
      <c r="U175" s="139"/>
      <c r="V175" s="19"/>
      <c r="W175" s="19"/>
      <c r="X175" s="19"/>
      <c r="Y175" s="19"/>
      <c r="Z175" s="139"/>
      <c r="AA175" s="34"/>
      <c r="AB175" s="19"/>
      <c r="AC175" s="147"/>
      <c r="AE175" s="34"/>
      <c r="AG175" s="9"/>
    </row>
    <row r="176" spans="1:36" ht="15" customHeight="1">
      <c r="A176" s="35"/>
      <c r="B176" s="35"/>
      <c r="C176" s="35"/>
      <c r="D176" s="35"/>
      <c r="E176" s="35"/>
      <c r="F176" s="101" t="s">
        <v>125</v>
      </c>
      <c r="G176" s="35"/>
      <c r="H176" s="108"/>
      <c r="I176" s="19"/>
      <c r="J176" s="19"/>
      <c r="K176" s="121"/>
      <c r="L176" s="121"/>
      <c r="M176" s="121"/>
      <c r="N176" s="122"/>
      <c r="O176" s="19"/>
      <c r="P176" s="136"/>
      <c r="Q176" s="122"/>
      <c r="R176" s="147"/>
      <c r="S176" s="9"/>
      <c r="U176" s="147"/>
      <c r="V176" s="19"/>
      <c r="W176" s="19"/>
      <c r="X176" s="19"/>
      <c r="Y176" s="19"/>
      <c r="Z176" s="147"/>
      <c r="AA176" s="34"/>
      <c r="AB176" s="19"/>
      <c r="AC176" s="140"/>
      <c r="AE176" s="34"/>
      <c r="AG176" s="9"/>
      <c r="AI176" s="19"/>
    </row>
    <row r="177" spans="1:36" ht="15" customHeight="1">
      <c r="A177" s="35"/>
      <c r="B177" s="35"/>
      <c r="C177" s="35"/>
      <c r="D177" s="35"/>
      <c r="E177" s="35"/>
      <c r="F177" s="101"/>
      <c r="G177" s="35"/>
      <c r="H177" s="108"/>
      <c r="I177" s="19"/>
      <c r="J177" s="19"/>
      <c r="K177" s="19"/>
      <c r="L177" s="19"/>
      <c r="M177" s="19"/>
      <c r="N177" s="122"/>
      <c r="O177" s="19"/>
      <c r="P177" s="136"/>
      <c r="Q177" s="122"/>
      <c r="R177" s="140"/>
      <c r="U177" s="140"/>
      <c r="V177" s="19"/>
      <c r="W177" s="19"/>
      <c r="X177" s="19"/>
      <c r="Y177" s="19"/>
      <c r="Z177" s="140"/>
      <c r="AA177" s="34"/>
      <c r="AB177" s="19"/>
      <c r="AC177" s="140"/>
      <c r="AD177" s="9"/>
      <c r="AE177" s="34"/>
      <c r="AG177" s="9"/>
      <c r="AI177" s="19"/>
    </row>
    <row r="178" spans="1:36" ht="15" customHeight="1">
      <c r="A178" s="35"/>
      <c r="B178" s="35"/>
      <c r="C178" s="35"/>
      <c r="D178" s="35"/>
      <c r="E178" s="35"/>
      <c r="F178" s="35"/>
      <c r="G178" s="35"/>
      <c r="H178" s="36"/>
      <c r="I178" s="19"/>
      <c r="J178" s="19"/>
      <c r="K178" s="19"/>
      <c r="L178" s="19"/>
      <c r="M178" s="19"/>
      <c r="N178" s="122"/>
      <c r="O178" s="19"/>
      <c r="P178" s="136"/>
      <c r="Q178" s="122"/>
      <c r="R178" s="140"/>
      <c r="S178" s="9"/>
      <c r="U178" s="140"/>
      <c r="V178" s="19"/>
      <c r="W178" s="19"/>
      <c r="X178" s="19"/>
      <c r="Y178" s="19"/>
      <c r="Z178" s="140"/>
      <c r="AA178" s="34"/>
      <c r="AB178" s="19"/>
      <c r="AC178" s="140"/>
      <c r="AE178" s="34"/>
      <c r="AI178" s="19"/>
    </row>
    <row r="179" spans="1:36" ht="15" customHeight="1">
      <c r="A179" s="35"/>
      <c r="B179" s="35"/>
      <c r="C179" s="35"/>
      <c r="D179" s="35"/>
      <c r="E179" s="35"/>
      <c r="F179" s="35"/>
      <c r="G179" s="35"/>
      <c r="H179" s="36"/>
      <c r="I179" s="19"/>
      <c r="J179" s="19"/>
      <c r="K179" s="19"/>
      <c r="L179" s="19"/>
      <c r="M179" s="19"/>
      <c r="N179" s="122"/>
      <c r="O179" s="19"/>
      <c r="P179" s="136"/>
      <c r="Q179" s="122"/>
      <c r="R179" s="140"/>
      <c r="S179" s="9"/>
      <c r="U179" s="140"/>
      <c r="V179" s="19"/>
      <c r="W179" s="19"/>
      <c r="X179" s="19"/>
      <c r="Y179" s="19"/>
      <c r="Z179" s="140"/>
      <c r="AA179" s="34"/>
      <c r="AB179" s="19"/>
      <c r="AC179" s="140"/>
      <c r="AE179" s="34"/>
      <c r="AI179" s="19"/>
    </row>
    <row r="180" spans="1:36" ht="29.25" customHeight="1">
      <c r="A180" s="35"/>
      <c r="B180" s="35"/>
      <c r="C180" s="35"/>
      <c r="D180" s="35"/>
      <c r="E180" s="35"/>
      <c r="F180" s="35"/>
      <c r="G180" s="35"/>
      <c r="H180" s="36"/>
      <c r="I180" s="19"/>
      <c r="J180" s="19"/>
      <c r="K180" s="19"/>
      <c r="L180" s="19"/>
      <c r="M180" s="19"/>
      <c r="N180" s="122"/>
      <c r="O180" s="19"/>
      <c r="P180" s="136"/>
      <c r="Q180" s="122"/>
      <c r="R180" s="140"/>
      <c r="S180" s="9"/>
      <c r="U180" s="140"/>
      <c r="V180" s="19"/>
      <c r="W180" s="19"/>
      <c r="X180" s="19"/>
      <c r="Y180" s="19"/>
      <c r="Z180" s="140"/>
      <c r="AA180" s="34"/>
      <c r="AB180" s="19"/>
      <c r="AC180" s="140"/>
      <c r="AE180" s="34"/>
      <c r="AI180" s="19"/>
    </row>
    <row r="181" spans="1:36" ht="15" customHeight="1">
      <c r="A181" s="35"/>
      <c r="B181" s="35"/>
      <c r="C181" s="35"/>
      <c r="D181" s="35"/>
      <c r="E181" s="35"/>
      <c r="G181" s="35"/>
      <c r="H181" s="36"/>
      <c r="I181" s="19"/>
      <c r="J181" s="19"/>
      <c r="K181" s="19"/>
      <c r="L181" s="19"/>
      <c r="M181" s="19"/>
      <c r="N181" s="121"/>
      <c r="O181" s="19"/>
      <c r="P181" s="190"/>
      <c r="Q181" s="177"/>
      <c r="R181" s="140"/>
      <c r="S181" s="9"/>
      <c r="U181" s="140"/>
      <c r="V181" s="19"/>
      <c r="W181" s="19"/>
      <c r="X181" s="19"/>
      <c r="Y181" s="19"/>
      <c r="Z181" s="140"/>
      <c r="AA181" s="34"/>
      <c r="AB181" s="19"/>
      <c r="AC181" s="140"/>
      <c r="AE181" s="34"/>
      <c r="AI181" s="19"/>
    </row>
    <row r="182" spans="1:36">
      <c r="A182" s="35"/>
      <c r="B182" s="35"/>
      <c r="C182" s="35"/>
      <c r="D182" s="35"/>
      <c r="E182" s="35"/>
      <c r="F182" s="148"/>
      <c r="G182" s="35"/>
      <c r="H182" s="36"/>
      <c r="I182" s="19"/>
      <c r="J182" s="19"/>
      <c r="K182" s="19"/>
      <c r="L182" s="19"/>
      <c r="M182" s="19"/>
      <c r="N182" s="177"/>
      <c r="O182" s="19"/>
      <c r="P182" s="190"/>
      <c r="Q182" s="178"/>
      <c r="R182" s="140"/>
      <c r="S182" s="9"/>
      <c r="U182" s="140"/>
      <c r="V182" s="19"/>
      <c r="W182" s="19"/>
      <c r="X182" s="19"/>
      <c r="Y182" s="19"/>
      <c r="Z182" s="140"/>
      <c r="AA182" s="34"/>
      <c r="AB182" s="19"/>
      <c r="AC182" s="140"/>
      <c r="AE182" s="34"/>
      <c r="AI182" s="19"/>
    </row>
    <row r="183" spans="1:36" ht="18">
      <c r="A183" s="35"/>
      <c r="B183" s="35"/>
      <c r="C183" s="35"/>
      <c r="D183" s="35"/>
      <c r="E183" s="35"/>
      <c r="F183" s="129"/>
      <c r="G183" s="35"/>
      <c r="H183" s="36"/>
      <c r="I183" s="19"/>
      <c r="J183" s="19"/>
      <c r="K183" s="19"/>
      <c r="L183" s="19"/>
      <c r="M183" s="19"/>
      <c r="N183" s="181"/>
      <c r="O183" s="19"/>
      <c r="P183" s="190"/>
      <c r="Q183" s="177"/>
      <c r="R183" s="140"/>
      <c r="U183" s="140"/>
      <c r="V183" s="19"/>
      <c r="W183" s="19"/>
      <c r="X183" s="19"/>
      <c r="Y183" s="19"/>
      <c r="Z183" s="140"/>
      <c r="AA183" s="34"/>
      <c r="AB183" s="19"/>
      <c r="AC183" s="1"/>
      <c r="AE183" s="34"/>
      <c r="AI183" s="19"/>
    </row>
    <row r="184" spans="1:36" ht="15" customHeight="1">
      <c r="A184" s="35"/>
      <c r="B184" s="35"/>
      <c r="C184" s="35"/>
      <c r="D184" s="35"/>
      <c r="E184" s="35"/>
      <c r="F184" s="35"/>
      <c r="G184" s="35"/>
      <c r="H184" s="36"/>
      <c r="I184" s="19"/>
      <c r="J184" s="19"/>
      <c r="K184" s="19"/>
      <c r="L184" s="19"/>
      <c r="M184" s="19"/>
      <c r="N184" s="183"/>
      <c r="O184" s="19"/>
      <c r="P184" s="190"/>
      <c r="Q184" s="181"/>
      <c r="R184" s="27"/>
      <c r="U184" s="9"/>
      <c r="V184" s="19"/>
      <c r="W184" s="19"/>
      <c r="X184" s="19"/>
      <c r="Y184" s="19"/>
      <c r="Z184" s="9"/>
      <c r="AA184" s="34"/>
      <c r="AB184" s="19"/>
      <c r="AC184" s="147"/>
      <c r="AE184" s="34"/>
      <c r="AG184" s="9"/>
      <c r="AI184" s="9"/>
      <c r="AJ184" s="9"/>
    </row>
    <row r="185" spans="1:36" ht="15" customHeight="1">
      <c r="A185" s="35"/>
      <c r="B185" s="35"/>
      <c r="C185" s="35"/>
      <c r="D185" s="35"/>
      <c r="E185" s="35"/>
      <c r="F185" s="35"/>
      <c r="G185" s="35"/>
      <c r="H185" s="36"/>
      <c r="I185" s="19"/>
      <c r="J185" s="19"/>
      <c r="K185" s="19"/>
      <c r="L185" s="19"/>
      <c r="M185" s="19"/>
      <c r="N185" s="177"/>
      <c r="O185" s="19"/>
      <c r="P185" s="191"/>
      <c r="Q185" s="183"/>
      <c r="R185" s="147"/>
      <c r="S185" s="9"/>
      <c r="U185" s="147"/>
      <c r="V185" s="19"/>
      <c r="W185" s="19"/>
      <c r="X185" s="19"/>
      <c r="Y185" s="19"/>
      <c r="Z185" s="147"/>
      <c r="AA185" s="34"/>
      <c r="AB185" s="19"/>
      <c r="AC185" s="147"/>
      <c r="AE185" s="34"/>
      <c r="AG185" s="19"/>
    </row>
    <row r="186" spans="1:36" ht="15.75" customHeight="1">
      <c r="A186" s="35"/>
      <c r="B186" s="35"/>
      <c r="C186" s="35"/>
      <c r="D186" s="35"/>
      <c r="E186" s="35"/>
      <c r="F186" s="35"/>
      <c r="G186" s="35"/>
      <c r="H186" s="36"/>
      <c r="I186" s="19"/>
      <c r="J186" s="19"/>
      <c r="K186" s="19"/>
      <c r="L186" s="19"/>
      <c r="M186" s="19"/>
      <c r="N186" s="183"/>
      <c r="O186" s="19"/>
      <c r="P186" s="191"/>
      <c r="Q186" s="177"/>
      <c r="R186" s="147"/>
      <c r="S186" s="9"/>
      <c r="V186" s="19"/>
      <c r="W186" s="19"/>
      <c r="X186" s="19"/>
      <c r="Y186" s="19"/>
      <c r="Z186" s="147"/>
      <c r="AA186" s="34"/>
      <c r="AB186" s="19"/>
      <c r="AE186" s="34"/>
      <c r="AI186" s="9"/>
    </row>
    <row r="187" spans="1:36">
      <c r="H187" s="26"/>
      <c r="I187" s="19"/>
      <c r="J187" s="19"/>
      <c r="K187" s="19"/>
      <c r="L187" s="19"/>
      <c r="M187" s="19"/>
      <c r="N187" s="189"/>
      <c r="O187" s="19"/>
      <c r="P187" s="192"/>
      <c r="Q187" s="183"/>
      <c r="R187" s="126"/>
      <c r="S187" s="9"/>
      <c r="U187" s="9"/>
      <c r="V187" s="19"/>
      <c r="W187" s="19"/>
      <c r="X187" s="19"/>
      <c r="Y187" s="19"/>
      <c r="AA187" s="34"/>
      <c r="AB187" s="19"/>
      <c r="AC187" s="144"/>
      <c r="AE187" s="149"/>
    </row>
    <row r="188" spans="1:36">
      <c r="I188" s="19"/>
      <c r="J188" s="19"/>
      <c r="K188" s="19"/>
      <c r="L188" s="19"/>
      <c r="M188" s="19"/>
      <c r="N188" s="19"/>
      <c r="O188" s="19"/>
      <c r="P188" s="192"/>
      <c r="Q188" s="193"/>
      <c r="R188" s="144"/>
      <c r="U188" s="144"/>
      <c r="V188" s="149"/>
      <c r="W188" s="19"/>
      <c r="X188" s="149"/>
      <c r="Y188" s="19"/>
      <c r="Z188" s="144"/>
      <c r="AA188" s="149"/>
      <c r="AB188" s="19"/>
      <c r="AC188" s="144"/>
      <c r="AE188" s="150"/>
    </row>
    <row r="189" spans="1:36" ht="15.75" thickBot="1">
      <c r="I189" s="19"/>
      <c r="J189" s="19"/>
      <c r="K189" s="19"/>
      <c r="L189" s="19"/>
      <c r="M189" s="19"/>
      <c r="N189" s="19"/>
      <c r="O189" s="19"/>
      <c r="P189" s="192"/>
      <c r="Q189" s="193"/>
      <c r="R189" s="144"/>
      <c r="T189" s="9"/>
      <c r="U189" s="144"/>
      <c r="V189" s="150"/>
      <c r="W189" s="19"/>
      <c r="X189" s="150"/>
      <c r="Y189" s="19"/>
      <c r="Z189" s="144"/>
      <c r="AA189" s="150"/>
      <c r="AB189" s="19"/>
      <c r="AC189" s="147"/>
      <c r="AE189" s="151"/>
      <c r="AG189" s="9"/>
    </row>
    <row r="190" spans="1:36" ht="15.75" thickBot="1">
      <c r="I190" s="19"/>
      <c r="J190" s="19"/>
      <c r="K190" s="19"/>
      <c r="L190" s="19"/>
      <c r="M190" s="19"/>
      <c r="N190" s="19"/>
      <c r="O190" s="19"/>
      <c r="P190" s="192"/>
      <c r="Q190" s="140"/>
      <c r="R190" s="147"/>
      <c r="S190" s="9"/>
      <c r="U190" s="147"/>
      <c r="V190" s="151"/>
      <c r="W190" s="19"/>
      <c r="X190" s="151"/>
      <c r="Y190" s="19"/>
      <c r="Z190" s="147"/>
      <c r="AA190" s="151"/>
      <c r="AB190" s="19"/>
      <c r="AC190" s="152"/>
      <c r="AE190" s="153"/>
      <c r="AF190" s="19"/>
      <c r="AG190" s="9"/>
    </row>
    <row r="191" spans="1:36" ht="15.75" thickBot="1">
      <c r="I191" s="19"/>
      <c r="J191" s="19"/>
      <c r="K191" s="19"/>
      <c r="L191" s="19"/>
      <c r="M191" s="19"/>
      <c r="N191" s="19"/>
      <c r="O191" s="19"/>
      <c r="P191" s="192"/>
      <c r="Q191" s="194"/>
      <c r="R191" s="152"/>
      <c r="T191" s="126"/>
      <c r="U191" s="152"/>
      <c r="V191" s="153"/>
      <c r="W191" s="19"/>
      <c r="X191" s="153"/>
      <c r="Y191" s="19"/>
      <c r="Z191" s="152"/>
      <c r="AA191" s="153"/>
      <c r="AB191" s="19"/>
      <c r="AC191" s="9"/>
      <c r="AE191" s="19"/>
    </row>
    <row r="192" spans="1:36" ht="15.75" thickTop="1">
      <c r="I192" s="19"/>
      <c r="J192" s="19"/>
      <c r="K192" s="19"/>
      <c r="L192" s="19"/>
      <c r="M192" s="19"/>
      <c r="N192" s="19"/>
      <c r="O192" s="19"/>
      <c r="P192" s="154"/>
      <c r="Q192" s="19"/>
      <c r="R192" s="9"/>
      <c r="U192" s="9"/>
      <c r="V192" s="19"/>
      <c r="W192" s="19"/>
      <c r="X192" s="19"/>
      <c r="Y192" s="19"/>
      <c r="Z192" s="9"/>
      <c r="AA192" s="19"/>
      <c r="AB192" s="19"/>
      <c r="AE192" s="19"/>
    </row>
    <row r="193" spans="9:28">
      <c r="I193" s="19"/>
      <c r="J193" s="19"/>
      <c r="K193" s="19"/>
      <c r="L193" s="19"/>
      <c r="M193" s="19"/>
      <c r="N193" s="19"/>
      <c r="O193" s="19"/>
      <c r="P193" s="138"/>
      <c r="Q193" s="19"/>
      <c r="R193" s="9"/>
      <c r="V193" s="19"/>
      <c r="W193" s="19"/>
      <c r="X193" s="19"/>
      <c r="Y193" s="19"/>
      <c r="AA193" s="19"/>
      <c r="AB193" s="19"/>
    </row>
    <row r="194" spans="9:28">
      <c r="I194" s="19"/>
      <c r="J194" s="19"/>
      <c r="K194" s="19"/>
      <c r="L194" s="19"/>
      <c r="M194" s="19"/>
      <c r="N194" s="19"/>
      <c r="O194" s="19"/>
      <c r="P194" s="154"/>
      <c r="S194" s="9"/>
      <c r="V194" s="19"/>
      <c r="W194" s="19"/>
      <c r="X194" s="19"/>
      <c r="Y194" s="19"/>
      <c r="AA194" s="19"/>
      <c r="AB194" s="19"/>
    </row>
    <row r="195" spans="9:28">
      <c r="I195" s="19"/>
      <c r="J195" s="19"/>
      <c r="K195" s="19"/>
      <c r="L195" s="19"/>
      <c r="M195" s="19"/>
      <c r="N195" s="19"/>
      <c r="O195" s="19"/>
      <c r="P195" s="154"/>
      <c r="Q195" s="9"/>
      <c r="S195" s="9"/>
      <c r="T195" s="126"/>
      <c r="U195" s="9"/>
      <c r="V195" s="19"/>
      <c r="W195" s="19"/>
      <c r="X195" s="19"/>
      <c r="Y195" s="19"/>
      <c r="AA195" s="19"/>
      <c r="AB195" s="19"/>
    </row>
    <row r="196" spans="9:28">
      <c r="I196" s="19"/>
      <c r="J196" s="19"/>
      <c r="K196" s="19"/>
      <c r="L196" s="19"/>
      <c r="M196" s="19"/>
      <c r="N196" s="19"/>
      <c r="O196" s="19"/>
      <c r="P196" s="154"/>
      <c r="R196" s="19"/>
      <c r="S196" s="9"/>
      <c r="U196" s="126"/>
      <c r="V196" s="19"/>
      <c r="W196" s="19"/>
      <c r="X196" s="19"/>
      <c r="Y196" s="19"/>
      <c r="AA196" s="19"/>
      <c r="AB196" s="19"/>
    </row>
    <row r="197" spans="9:28">
      <c r="I197" s="19"/>
      <c r="J197" s="19"/>
      <c r="K197" s="19"/>
      <c r="L197" s="19"/>
      <c r="M197" s="19"/>
      <c r="N197" s="19"/>
      <c r="O197" s="19"/>
      <c r="P197" s="154"/>
      <c r="R197" s="19"/>
      <c r="U197" s="126"/>
      <c r="V197" s="19"/>
      <c r="W197" s="19"/>
      <c r="X197" s="19"/>
      <c r="Y197" s="19"/>
      <c r="AA197" s="19"/>
      <c r="AB197" s="19"/>
    </row>
    <row r="198" spans="9:28">
      <c r="I198" s="19"/>
      <c r="J198" s="19"/>
      <c r="K198" s="19"/>
      <c r="L198" s="19"/>
      <c r="M198" s="19"/>
      <c r="N198" s="19"/>
      <c r="O198" s="19"/>
      <c r="P198" s="154"/>
      <c r="R198" s="19"/>
      <c r="S198" s="9"/>
      <c r="T198" s="9"/>
      <c r="V198" s="19"/>
      <c r="W198" s="19"/>
      <c r="X198" s="19"/>
      <c r="Y198" s="19"/>
      <c r="AA198" s="19"/>
      <c r="AB198" s="19"/>
    </row>
    <row r="199" spans="9:28">
      <c r="I199" s="19"/>
      <c r="J199" s="19"/>
      <c r="K199" s="19"/>
      <c r="L199" s="19"/>
      <c r="M199" s="19"/>
      <c r="N199" s="19"/>
      <c r="O199" s="19"/>
      <c r="P199" s="155"/>
      <c r="R199" s="19"/>
      <c r="S199" s="9"/>
      <c r="V199" s="19"/>
      <c r="W199" s="19"/>
      <c r="AA199" s="9"/>
      <c r="AB199" s="19"/>
    </row>
    <row r="200" spans="9:28">
      <c r="I200" s="19"/>
      <c r="J200" s="19"/>
      <c r="K200" s="19"/>
      <c r="L200" s="19"/>
      <c r="M200" s="19"/>
      <c r="N200" s="19"/>
      <c r="O200" s="19"/>
      <c r="P200" s="155"/>
      <c r="Q200" s="26"/>
      <c r="R200" s="19"/>
      <c r="T200" s="9"/>
      <c r="V200" s="19"/>
      <c r="W200" s="19"/>
      <c r="AA200" s="9"/>
      <c r="AB200" s="19"/>
    </row>
    <row r="201" spans="9:28">
      <c r="I201" s="19"/>
      <c r="J201" s="19"/>
      <c r="K201" s="19"/>
      <c r="L201" s="19"/>
      <c r="M201" s="19"/>
      <c r="N201" s="19"/>
      <c r="O201" s="19"/>
      <c r="P201" s="155"/>
      <c r="Q201" s="26"/>
      <c r="R201" s="19"/>
      <c r="U201" s="126"/>
      <c r="V201" s="19"/>
      <c r="W201" s="19"/>
      <c r="AA201" s="9"/>
    </row>
    <row r="202" spans="9:28">
      <c r="I202" s="19"/>
      <c r="J202" s="19"/>
      <c r="K202" s="19"/>
      <c r="L202" s="19"/>
      <c r="M202" s="19"/>
      <c r="N202" s="19"/>
      <c r="O202" s="19"/>
      <c r="P202" s="155"/>
      <c r="Q202" s="26"/>
      <c r="R202" s="19"/>
      <c r="V202" s="19"/>
      <c r="W202" s="19"/>
    </row>
    <row r="203" spans="9:28">
      <c r="I203" s="19"/>
      <c r="J203" s="19"/>
      <c r="K203" s="19"/>
      <c r="L203" s="19"/>
      <c r="M203" s="19"/>
      <c r="N203" s="19"/>
      <c r="O203" s="19"/>
      <c r="P203" s="155"/>
      <c r="Q203" s="26"/>
      <c r="R203" s="19"/>
      <c r="V203" s="19"/>
      <c r="W203" s="19"/>
    </row>
    <row r="204" spans="9:28">
      <c r="I204" s="19"/>
      <c r="J204" s="19"/>
      <c r="K204" s="19"/>
      <c r="L204" s="19"/>
      <c r="M204" s="19"/>
      <c r="N204" s="19"/>
      <c r="O204" s="19"/>
      <c r="P204" s="155"/>
      <c r="Q204" s="26"/>
      <c r="R204" s="19"/>
    </row>
    <row r="205" spans="9:28">
      <c r="I205" s="19"/>
      <c r="J205" s="19"/>
      <c r="K205" s="19"/>
      <c r="L205" s="19"/>
      <c r="M205" s="19"/>
      <c r="N205" s="19"/>
      <c r="O205" s="19"/>
      <c r="P205" s="155"/>
      <c r="Q205" s="26"/>
      <c r="R205" s="19"/>
      <c r="V205" s="9"/>
      <c r="X205" s="9"/>
    </row>
    <row r="206" spans="9:28">
      <c r="I206" s="19"/>
      <c r="J206" s="19"/>
      <c r="K206" s="19"/>
      <c r="L206" s="19"/>
      <c r="M206" s="19"/>
      <c r="N206" s="19"/>
      <c r="O206" s="19"/>
      <c r="P206" s="155"/>
      <c r="Q206" s="26"/>
      <c r="R206" s="19"/>
      <c r="T206" s="9"/>
    </row>
    <row r="207" spans="9:28">
      <c r="I207" s="19"/>
      <c r="J207" s="19"/>
      <c r="K207" s="19"/>
      <c r="L207" s="19"/>
      <c r="M207" s="19"/>
      <c r="N207" s="19"/>
      <c r="O207" s="19"/>
      <c r="P207" s="155"/>
      <c r="Q207" s="26"/>
      <c r="R207" s="19"/>
    </row>
    <row r="208" spans="9:28">
      <c r="I208" s="19"/>
      <c r="J208" s="19"/>
      <c r="K208" s="19"/>
      <c r="L208" s="19"/>
      <c r="M208" s="19"/>
      <c r="N208" s="19"/>
      <c r="O208" s="19"/>
      <c r="P208" s="155"/>
      <c r="Q208" s="26"/>
      <c r="R208" s="19"/>
    </row>
    <row r="209" spans="9:18">
      <c r="I209" s="19"/>
      <c r="J209" s="19"/>
      <c r="K209" s="19"/>
      <c r="L209" s="19"/>
      <c r="M209" s="19"/>
      <c r="N209" s="19"/>
      <c r="O209" s="19"/>
      <c r="P209" s="155"/>
      <c r="Q209" s="26"/>
      <c r="R209" s="19"/>
    </row>
    <row r="210" spans="9:18">
      <c r="I210" s="19"/>
      <c r="J210" s="19"/>
      <c r="K210" s="19"/>
      <c r="L210" s="19"/>
      <c r="M210" s="19"/>
      <c r="N210" s="19"/>
      <c r="O210" s="19"/>
      <c r="P210" s="155"/>
      <c r="Q210" s="26"/>
      <c r="R210" s="19"/>
    </row>
    <row r="211" spans="9:18">
      <c r="I211" s="19"/>
      <c r="J211" s="19"/>
      <c r="K211" s="19"/>
      <c r="L211" s="19"/>
      <c r="M211" s="19"/>
      <c r="N211" s="19"/>
      <c r="O211" s="19"/>
      <c r="P211" s="155"/>
      <c r="Q211" s="26"/>
      <c r="R211" s="19"/>
    </row>
    <row r="212" spans="9:18">
      <c r="I212" s="19"/>
      <c r="J212" s="19"/>
      <c r="K212" s="19"/>
      <c r="L212" s="19"/>
      <c r="M212" s="19"/>
      <c r="N212" s="19"/>
      <c r="O212" s="19"/>
      <c r="P212" s="155"/>
      <c r="Q212" s="26"/>
      <c r="R212" s="19"/>
    </row>
    <row r="213" spans="9:18">
      <c r="I213" s="19"/>
      <c r="J213" s="19"/>
      <c r="K213" s="19"/>
      <c r="L213" s="19"/>
      <c r="M213" s="19"/>
      <c r="N213" s="19"/>
      <c r="O213" s="19"/>
      <c r="P213" s="155"/>
      <c r="Q213" s="26"/>
      <c r="R213" s="19"/>
    </row>
    <row r="214" spans="9:18">
      <c r="I214" s="19"/>
      <c r="J214" s="19"/>
      <c r="K214" s="19"/>
      <c r="L214" s="19"/>
      <c r="M214" s="19"/>
      <c r="N214" s="19"/>
      <c r="O214" s="19"/>
      <c r="P214" s="155"/>
      <c r="Q214" s="26"/>
      <c r="R214" s="19"/>
    </row>
    <row r="215" spans="9:18">
      <c r="I215" s="19"/>
      <c r="J215" s="19"/>
      <c r="K215" s="19"/>
      <c r="L215" s="19"/>
      <c r="M215" s="19"/>
      <c r="N215" s="19"/>
      <c r="O215" s="19"/>
      <c r="P215" s="155"/>
      <c r="Q215" s="26"/>
      <c r="R215" s="19"/>
    </row>
    <row r="216" spans="9:18">
      <c r="I216" s="19"/>
      <c r="J216" s="19"/>
      <c r="K216" s="19"/>
      <c r="L216" s="19"/>
      <c r="M216" s="19"/>
      <c r="N216" s="19"/>
      <c r="O216" s="19"/>
      <c r="P216" s="155"/>
      <c r="Q216" s="26"/>
      <c r="R216" s="19"/>
    </row>
    <row r="217" spans="9:18">
      <c r="I217" s="19"/>
      <c r="J217" s="19"/>
      <c r="K217" s="19"/>
      <c r="L217" s="19"/>
      <c r="M217" s="19"/>
      <c r="N217" s="19"/>
      <c r="O217" s="19"/>
      <c r="P217" s="155"/>
      <c r="Q217" s="26"/>
      <c r="R217" s="19"/>
    </row>
    <row r="218" spans="9:18">
      <c r="I218" s="19"/>
      <c r="J218" s="19"/>
      <c r="K218" s="19"/>
      <c r="L218" s="19"/>
      <c r="M218" s="19"/>
      <c r="N218" s="19"/>
      <c r="O218" s="19"/>
      <c r="P218" s="155"/>
      <c r="Q218" s="26"/>
      <c r="R218" s="19"/>
    </row>
    <row r="219" spans="9:18">
      <c r="I219" s="19"/>
      <c r="J219" s="19"/>
      <c r="K219" s="19"/>
      <c r="L219" s="19"/>
      <c r="M219" s="19"/>
      <c r="N219" s="19"/>
      <c r="O219" s="19"/>
      <c r="P219" s="155"/>
      <c r="Q219" s="26"/>
      <c r="R219" s="19"/>
    </row>
    <row r="220" spans="9:18">
      <c r="I220" s="19"/>
      <c r="J220" s="19"/>
      <c r="K220" s="19"/>
      <c r="L220" s="19"/>
      <c r="M220" s="19"/>
      <c r="N220" s="19"/>
      <c r="O220" s="19"/>
      <c r="P220" s="155"/>
      <c r="Q220" s="26"/>
      <c r="R220" s="19"/>
    </row>
    <row r="221" spans="9:18">
      <c r="I221" s="19"/>
      <c r="J221" s="19"/>
      <c r="K221" s="19"/>
      <c r="L221" s="19"/>
      <c r="M221" s="19"/>
      <c r="N221" s="19"/>
      <c r="O221" s="19"/>
      <c r="P221" s="155"/>
      <c r="Q221" s="26"/>
      <c r="R221" s="19"/>
    </row>
    <row r="222" spans="9:18">
      <c r="I222" s="19"/>
      <c r="J222" s="19"/>
      <c r="K222" s="19"/>
      <c r="L222" s="19"/>
      <c r="M222" s="19"/>
      <c r="N222" s="19"/>
      <c r="O222" s="19"/>
      <c r="P222" s="155"/>
      <c r="Q222" s="26"/>
      <c r="R222" s="19"/>
    </row>
    <row r="223" spans="9:18">
      <c r="I223" s="19"/>
      <c r="J223" s="19"/>
      <c r="K223" s="19"/>
      <c r="L223" s="19"/>
      <c r="M223" s="19"/>
      <c r="N223" s="19"/>
      <c r="O223" s="19"/>
      <c r="P223" s="155"/>
      <c r="Q223" s="26"/>
      <c r="R223" s="19"/>
    </row>
    <row r="224" spans="9:18">
      <c r="I224" s="19"/>
      <c r="J224" s="19"/>
      <c r="K224" s="19"/>
      <c r="L224" s="19"/>
      <c r="M224" s="19"/>
      <c r="N224" s="19"/>
      <c r="O224" s="19"/>
      <c r="P224" s="155"/>
      <c r="Q224" s="26"/>
      <c r="R224" s="19"/>
    </row>
    <row r="225" spans="9:18">
      <c r="I225" s="19"/>
      <c r="J225" s="19"/>
      <c r="K225" s="19"/>
      <c r="L225" s="19"/>
      <c r="M225" s="19"/>
      <c r="N225" s="19"/>
      <c r="O225" s="19"/>
      <c r="P225" s="155"/>
      <c r="Q225" s="26"/>
      <c r="R225" s="19"/>
    </row>
    <row r="226" spans="9:18">
      <c r="I226" s="19"/>
      <c r="J226" s="19"/>
      <c r="K226" s="19"/>
      <c r="L226" s="19"/>
      <c r="M226" s="19"/>
      <c r="N226" s="19"/>
      <c r="O226" s="19"/>
      <c r="P226" s="155"/>
      <c r="Q226" s="26"/>
      <c r="R226" s="19"/>
    </row>
    <row r="227" spans="9:18">
      <c r="I227" s="19"/>
      <c r="J227" s="19"/>
      <c r="K227" s="19"/>
      <c r="L227" s="19"/>
      <c r="M227" s="19"/>
      <c r="N227" s="19"/>
      <c r="O227" s="19"/>
      <c r="P227" s="155"/>
      <c r="Q227" s="26"/>
      <c r="R227" s="19"/>
    </row>
    <row r="228" spans="9:18">
      <c r="I228" s="19"/>
      <c r="J228" s="19"/>
      <c r="K228" s="19"/>
      <c r="L228" s="19"/>
      <c r="M228" s="19"/>
      <c r="N228" s="19"/>
      <c r="O228" s="19"/>
      <c r="P228" s="155"/>
      <c r="Q228" s="26"/>
      <c r="R228" s="19"/>
    </row>
    <row r="229" spans="9:18">
      <c r="I229" s="19"/>
      <c r="J229" s="19"/>
      <c r="K229" s="19"/>
      <c r="L229" s="19"/>
      <c r="M229" s="19"/>
      <c r="N229" s="19"/>
      <c r="O229" s="19"/>
      <c r="P229" s="155"/>
      <c r="Q229" s="26"/>
      <c r="R229" s="19"/>
    </row>
    <row r="230" spans="9:18">
      <c r="I230" s="19"/>
      <c r="J230" s="19"/>
      <c r="K230" s="19"/>
      <c r="L230" s="19"/>
      <c r="M230" s="19"/>
      <c r="N230" s="19"/>
      <c r="O230" s="19"/>
      <c r="P230" s="135"/>
    </row>
    <row r="231" spans="9:18">
      <c r="I231" s="19"/>
      <c r="J231" s="19"/>
      <c r="K231" s="19"/>
      <c r="L231" s="19"/>
      <c r="M231" s="19"/>
      <c r="N231" s="19"/>
      <c r="O231" s="19"/>
      <c r="P231" s="135"/>
    </row>
    <row r="232" spans="9:18">
      <c r="I232" s="19"/>
      <c r="J232" s="19"/>
      <c r="K232" s="19"/>
      <c r="L232" s="19"/>
      <c r="M232" s="19"/>
      <c r="N232" s="19"/>
      <c r="O232" s="19"/>
      <c r="P232" s="135"/>
    </row>
    <row r="233" spans="9:18">
      <c r="I233" s="19"/>
      <c r="J233" s="19"/>
      <c r="K233" s="19"/>
      <c r="L233" s="19"/>
      <c r="M233" s="19"/>
      <c r="N233" s="19"/>
      <c r="O233" s="19"/>
      <c r="P233" s="135"/>
    </row>
    <row r="234" spans="9:18">
      <c r="I234" s="19"/>
      <c r="J234" s="19"/>
      <c r="K234" s="19"/>
      <c r="L234" s="19"/>
      <c r="M234" s="19"/>
      <c r="N234" s="19"/>
      <c r="O234" s="19"/>
      <c r="P234" s="135"/>
    </row>
    <row r="235" spans="9:18">
      <c r="I235" s="19"/>
      <c r="J235" s="19"/>
      <c r="K235" s="19"/>
      <c r="L235" s="19"/>
      <c r="M235" s="19"/>
      <c r="N235" s="19"/>
      <c r="O235" s="19"/>
      <c r="P235" s="135"/>
    </row>
    <row r="236" spans="9:18">
      <c r="I236" s="19"/>
      <c r="J236" s="19"/>
      <c r="K236" s="19"/>
      <c r="L236" s="19"/>
      <c r="M236" s="19"/>
      <c r="N236" s="19"/>
      <c r="O236" s="19"/>
      <c r="P236" s="135"/>
    </row>
    <row r="237" spans="9:18">
      <c r="I237" s="19"/>
      <c r="J237" s="19"/>
      <c r="K237" s="19"/>
      <c r="L237" s="19"/>
      <c r="M237" s="19"/>
      <c r="N237" s="19"/>
      <c r="O237" s="19"/>
      <c r="P237" s="135"/>
    </row>
    <row r="238" spans="9:18">
      <c r="I238" s="19"/>
      <c r="J238" s="19"/>
      <c r="K238" s="19"/>
      <c r="L238" s="19"/>
      <c r="M238" s="19"/>
      <c r="N238" s="19"/>
      <c r="O238" s="19"/>
      <c r="P238" s="135"/>
    </row>
    <row r="239" spans="9:18">
      <c r="I239" s="19"/>
      <c r="J239" s="19"/>
      <c r="K239" s="19"/>
      <c r="L239" s="19"/>
      <c r="M239" s="19"/>
      <c r="N239" s="19"/>
      <c r="O239" s="19"/>
      <c r="P239" s="135"/>
    </row>
    <row r="240" spans="9:18">
      <c r="I240" s="19"/>
      <c r="J240" s="19"/>
      <c r="K240" s="19"/>
      <c r="L240" s="19"/>
      <c r="M240" s="19"/>
      <c r="N240" s="19"/>
      <c r="O240" s="19"/>
      <c r="P240" s="135"/>
    </row>
    <row r="241" spans="9:15">
      <c r="I241" s="19"/>
      <c r="J241" s="19"/>
      <c r="K241" s="19"/>
      <c r="L241" s="19"/>
      <c r="M241" s="19"/>
      <c r="N241" s="19"/>
      <c r="O241" s="19"/>
    </row>
    <row r="242" spans="9:15">
      <c r="I242" s="19"/>
      <c r="J242" s="19"/>
      <c r="K242" s="19"/>
      <c r="L242" s="19"/>
      <c r="M242" s="19"/>
      <c r="N242" s="19"/>
      <c r="O242" s="19"/>
    </row>
    <row r="243" spans="9:15">
      <c r="I243" s="19"/>
      <c r="J243" s="19"/>
      <c r="K243" s="19"/>
      <c r="L243" s="19"/>
      <c r="M243" s="19"/>
      <c r="N243" s="19"/>
      <c r="O243" s="19"/>
    </row>
    <row r="244" spans="9:15">
      <c r="I244" s="19"/>
      <c r="J244" s="19"/>
      <c r="K244" s="19"/>
      <c r="L244" s="19"/>
      <c r="M244" s="19"/>
      <c r="N244" s="19"/>
      <c r="O244" s="19"/>
    </row>
    <row r="245" spans="9:15">
      <c r="I245" s="19"/>
      <c r="J245" s="19"/>
      <c r="K245" s="19"/>
      <c r="L245" s="19"/>
      <c r="M245" s="19"/>
      <c r="N245" s="19"/>
      <c r="O245" s="19"/>
    </row>
    <row r="246" spans="9:15">
      <c r="I246" s="19"/>
      <c r="J246" s="19"/>
      <c r="K246" s="19"/>
      <c r="L246" s="19"/>
      <c r="M246" s="19"/>
      <c r="N246" s="19"/>
      <c r="O246" s="19"/>
    </row>
    <row r="247" spans="9:15">
      <c r="I247" s="19"/>
      <c r="J247" s="19"/>
      <c r="K247" s="19"/>
      <c r="L247" s="19"/>
      <c r="M247" s="19"/>
      <c r="N247" s="19"/>
      <c r="O247" s="19"/>
    </row>
    <row r="248" spans="9:15">
      <c r="I248" s="19"/>
      <c r="J248" s="19"/>
      <c r="K248" s="19"/>
      <c r="L248" s="19"/>
      <c r="M248" s="19"/>
      <c r="N248" s="19"/>
      <c r="O248" s="19"/>
    </row>
    <row r="249" spans="9:15">
      <c r="I249" s="19"/>
      <c r="J249" s="19"/>
      <c r="K249" s="19"/>
      <c r="L249" s="19"/>
      <c r="M249" s="19"/>
      <c r="N249" s="19"/>
      <c r="O249" s="19"/>
    </row>
    <row r="250" spans="9:15">
      <c r="I250" s="19"/>
      <c r="J250" s="19"/>
      <c r="K250" s="19"/>
      <c r="L250" s="19"/>
      <c r="M250" s="19"/>
      <c r="N250" s="19"/>
      <c r="O250" s="19"/>
    </row>
    <row r="251" spans="9:15">
      <c r="I251" s="19"/>
      <c r="J251" s="19"/>
      <c r="K251" s="19"/>
      <c r="L251" s="19"/>
      <c r="M251" s="19"/>
      <c r="N251" s="19"/>
      <c r="O251" s="19"/>
    </row>
    <row r="252" spans="9:15">
      <c r="I252" s="19"/>
      <c r="J252" s="19"/>
      <c r="K252" s="19"/>
      <c r="L252" s="19"/>
      <c r="M252" s="19"/>
      <c r="N252" s="19"/>
      <c r="O252" s="19"/>
    </row>
    <row r="253" spans="9:15">
      <c r="I253" s="19"/>
      <c r="J253" s="19"/>
      <c r="K253" s="19"/>
      <c r="L253" s="19"/>
      <c r="M253" s="19"/>
      <c r="N253" s="19"/>
      <c r="O253" s="19"/>
    </row>
    <row r="254" spans="9:15">
      <c r="I254" s="19"/>
      <c r="J254" s="19"/>
      <c r="K254" s="19"/>
      <c r="L254" s="19"/>
      <c r="M254" s="19"/>
      <c r="N254" s="19"/>
      <c r="O254" s="19"/>
    </row>
  </sheetData>
  <mergeCells count="7">
    <mergeCell ref="Z154:AA154"/>
    <mergeCell ref="AC154:AD154"/>
    <mergeCell ref="Z155:AA155"/>
    <mergeCell ref="AC155:AD155"/>
    <mergeCell ref="A5:H5"/>
    <mergeCell ref="A6:H6"/>
    <mergeCell ref="A7:H7"/>
  </mergeCells>
  <pageMargins left="0.70866141732283472" right="0.70866141732283472" top="0.74803149606299213" bottom="0.74803149606299213" header="0.31496062992125984" footer="0.31496062992125984"/>
  <pageSetup paperSize="5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2024</vt:lpstr>
      <vt:lpstr>'JUNIO 2024'!Área_de_impresión</vt:lpstr>
      <vt:lpstr>'JUNIO 2024'!Títulos_a_imprimir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2024-05-13T15:21:38Z</cp:lastPrinted>
  <dcterms:created xsi:type="dcterms:W3CDTF">2015-06-05T18:19:34Z</dcterms:created>
  <dcterms:modified xsi:type="dcterms:W3CDTF">2024-07-10T15:32:26Z</dcterms:modified>
</cp:coreProperties>
</file>